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1"/>
  </bookViews>
  <sheets>
    <sheet name="1. Основные положения ГП Уточ" sheetId="1" r:id="rId1"/>
    <sheet name="5. Финансиров 09.09.2025" sheetId="2" r:id="rId2"/>
    <sheet name="Лист5" sheetId="3" r:id="rId3"/>
  </sheets>
  <externalReferences>
    <externalReference r:id="rId4"/>
    <externalReference r:id="rId5"/>
  </externalReferences>
  <definedNames>
    <definedName name="_bookmark4" localSheetId="1">'[1]5. финансиров 26.11'!#REF!</definedName>
    <definedName name="_ftn2" localSheetId="0">'1. Основные положения ГП Уточ'!#REF!</definedName>
    <definedName name="_ftn3" localSheetId="0">'1. Основные положения ГП Уточ'!#REF!</definedName>
    <definedName name="_ftn4" localSheetId="0">'1. Основные положения ГП Уточ'!#REF!</definedName>
    <definedName name="_ftn5" localSheetId="0">'1. Основные положения ГП Уточ'!#REF!</definedName>
    <definedName name="_ftnref2" localSheetId="0">'1. Основные положения ГП Уточ'!$A$7</definedName>
    <definedName name="_ftnref3" localSheetId="0">'1. Основные положения ГП Уточ'!$A$9</definedName>
    <definedName name="_ftnref4" localSheetId="0">'1. Основные положения ГП Уточ'!#REF!</definedName>
    <definedName name="_ftnref5" localSheetId="0">'1. Основные положения ГП Уточ'!$B$16</definedName>
    <definedName name="_xlnm.Print_Titles" localSheetId="1">'5. Финансиров 09.09.2025'!$57:$59</definedName>
    <definedName name="_xlnm.Print_Area" localSheetId="0">'1. Основные положения ГП Уточ'!$A$1:$C$33</definedName>
    <definedName name="_xlnm.Print_Area" localSheetId="1">'5. Финансиров 09.09.2025'!$A$9:$O$225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0" i="2"/>
  <c r="I82"/>
  <c r="O111"/>
  <c r="N203"/>
  <c r="M203"/>
  <c r="L203"/>
  <c r="K203"/>
  <c r="J203"/>
  <c r="I203"/>
  <c r="I176"/>
  <c r="I164"/>
  <c r="J168"/>
  <c r="O195" l="1"/>
  <c r="I214"/>
  <c r="I213"/>
  <c r="O196"/>
  <c r="I197"/>
  <c r="J170"/>
  <c r="I84"/>
  <c r="L142"/>
  <c r="N142" l="1"/>
  <c r="M142"/>
  <c r="O214" l="1"/>
  <c r="N213"/>
  <c r="O213" s="1"/>
  <c r="O212"/>
  <c r="H212"/>
  <c r="H210" s="1"/>
  <c r="Q210" s="1"/>
  <c r="L211"/>
  <c r="M211" s="1"/>
  <c r="K210"/>
  <c r="T210" s="1"/>
  <c r="J210"/>
  <c r="S210" s="1"/>
  <c r="I210"/>
  <c r="R210" s="1"/>
  <c r="O206"/>
  <c r="N207"/>
  <c r="M207"/>
  <c r="L207"/>
  <c r="K207"/>
  <c r="J207"/>
  <c r="I207"/>
  <c r="O200"/>
  <c r="O199"/>
  <c r="H199"/>
  <c r="O198"/>
  <c r="O197"/>
  <c r="H194"/>
  <c r="O193"/>
  <c r="H192"/>
  <c r="O192" s="1"/>
  <c r="H191"/>
  <c r="O191" s="1"/>
  <c r="O190"/>
  <c r="O189"/>
  <c r="O188"/>
  <c r="O187"/>
  <c r="N186"/>
  <c r="W186" s="1"/>
  <c r="M186"/>
  <c r="V186" s="1"/>
  <c r="L186"/>
  <c r="U186" s="1"/>
  <c r="K186"/>
  <c r="T186" s="1"/>
  <c r="J186"/>
  <c r="S186" s="1"/>
  <c r="I186"/>
  <c r="R186" s="1"/>
  <c r="O182"/>
  <c r="N179"/>
  <c r="M179"/>
  <c r="L179"/>
  <c r="K179"/>
  <c r="J179"/>
  <c r="J183" s="1"/>
  <c r="I179"/>
  <c r="I183" s="1"/>
  <c r="H179"/>
  <c r="H183" s="1"/>
  <c r="O176"/>
  <c r="J175"/>
  <c r="O175" s="1"/>
  <c r="O174"/>
  <c r="O173"/>
  <c r="O172"/>
  <c r="O171"/>
  <c r="O170"/>
  <c r="O169"/>
  <c r="N168"/>
  <c r="M168"/>
  <c r="L168"/>
  <c r="O167"/>
  <c r="O166"/>
  <c r="O165"/>
  <c r="O164"/>
  <c r="N163"/>
  <c r="N158" s="1"/>
  <c r="W158" s="1"/>
  <c r="M163"/>
  <c r="L163"/>
  <c r="L158" s="1"/>
  <c r="U158" s="1"/>
  <c r="K163"/>
  <c r="K158" s="1"/>
  <c r="T158" s="1"/>
  <c r="J158"/>
  <c r="S158" s="1"/>
  <c r="I158"/>
  <c r="R158" s="1"/>
  <c r="H162"/>
  <c r="O161"/>
  <c r="O160"/>
  <c r="H160"/>
  <c r="H159"/>
  <c r="O159" s="1"/>
  <c r="O154"/>
  <c r="N151"/>
  <c r="M151"/>
  <c r="L151"/>
  <c r="L65" s="1"/>
  <c r="K151"/>
  <c r="J151"/>
  <c r="J155" s="1"/>
  <c r="I151"/>
  <c r="I155" s="1"/>
  <c r="H151"/>
  <c r="H155" s="1"/>
  <c r="O148"/>
  <c r="O147"/>
  <c r="K147"/>
  <c r="K139" s="1"/>
  <c r="T139" s="1"/>
  <c r="J147"/>
  <c r="J139" s="1"/>
  <c r="S139" s="1"/>
  <c r="O146"/>
  <c r="O145"/>
  <c r="O144"/>
  <c r="O143"/>
  <c r="I142"/>
  <c r="I139" s="1"/>
  <c r="O141"/>
  <c r="H140"/>
  <c r="O140" s="1"/>
  <c r="N139"/>
  <c r="M139"/>
  <c r="V139" s="1"/>
  <c r="L139"/>
  <c r="O128"/>
  <c r="O126"/>
  <c r="O121"/>
  <c r="J120"/>
  <c r="J123" s="1"/>
  <c r="J127" s="1"/>
  <c r="H120"/>
  <c r="O110"/>
  <c r="O106"/>
  <c r="O101"/>
  <c r="K100"/>
  <c r="K103" s="1"/>
  <c r="J100"/>
  <c r="J103" s="1"/>
  <c r="J107" s="1"/>
  <c r="I100"/>
  <c r="I103" s="1"/>
  <c r="I107" s="1"/>
  <c r="W99"/>
  <c r="V99"/>
  <c r="U99"/>
  <c r="H99"/>
  <c r="O99" s="1"/>
  <c r="I95"/>
  <c r="I68" s="1"/>
  <c r="I92"/>
  <c r="H92"/>
  <c r="H96" s="1"/>
  <c r="K90"/>
  <c r="K63" s="1"/>
  <c r="J90"/>
  <c r="J63" s="1"/>
  <c r="O89"/>
  <c r="O88"/>
  <c r="O87"/>
  <c r="O86"/>
  <c r="O85"/>
  <c r="O84"/>
  <c r="K83"/>
  <c r="J83"/>
  <c r="K82"/>
  <c r="J82"/>
  <c r="I81"/>
  <c r="I62" s="1"/>
  <c r="K81"/>
  <c r="O80"/>
  <c r="O79"/>
  <c r="O78"/>
  <c r="O77"/>
  <c r="O76"/>
  <c r="O75"/>
  <c r="O74"/>
  <c r="U73"/>
  <c r="T73"/>
  <c r="S73"/>
  <c r="H73"/>
  <c r="J70"/>
  <c r="H70"/>
  <c r="O70" s="1"/>
  <c r="C26" i="1" s="1"/>
  <c r="N68" i="2"/>
  <c r="M68"/>
  <c r="L68"/>
  <c r="K68"/>
  <c r="J68"/>
  <c r="H68"/>
  <c r="I63"/>
  <c r="H63"/>
  <c r="O54"/>
  <c r="O53"/>
  <c r="O52"/>
  <c r="N51"/>
  <c r="M51"/>
  <c r="L51"/>
  <c r="K51"/>
  <c r="J51"/>
  <c r="I51"/>
  <c r="H51"/>
  <c r="O50"/>
  <c r="O49"/>
  <c r="O48"/>
  <c r="N47"/>
  <c r="M47"/>
  <c r="L47"/>
  <c r="K47"/>
  <c r="J47"/>
  <c r="I47"/>
  <c r="H47"/>
  <c r="O46"/>
  <c r="O45"/>
  <c r="O44"/>
  <c r="N43"/>
  <c r="M43"/>
  <c r="L43"/>
  <c r="K43"/>
  <c r="J43"/>
  <c r="I43"/>
  <c r="H43"/>
  <c r="O41"/>
  <c r="O40"/>
  <c r="N39"/>
  <c r="M39"/>
  <c r="L39"/>
  <c r="K39"/>
  <c r="J39"/>
  <c r="I39"/>
  <c r="H39"/>
  <c r="O38"/>
  <c r="O37"/>
  <c r="O36"/>
  <c r="N35"/>
  <c r="M35"/>
  <c r="L35"/>
  <c r="K35"/>
  <c r="J35"/>
  <c r="I35"/>
  <c r="H35"/>
  <c r="O34"/>
  <c r="O33"/>
  <c r="O32"/>
  <c r="N31"/>
  <c r="M31"/>
  <c r="L31"/>
  <c r="K31"/>
  <c r="J31"/>
  <c r="I31"/>
  <c r="H31"/>
  <c r="O30"/>
  <c r="O29"/>
  <c r="O28"/>
  <c r="I27"/>
  <c r="O27" s="1"/>
  <c r="H27"/>
  <c r="O26"/>
  <c r="O25"/>
  <c r="O24"/>
  <c r="I23"/>
  <c r="H23"/>
  <c r="O22"/>
  <c r="O21"/>
  <c r="O20"/>
  <c r="J19"/>
  <c r="I19"/>
  <c r="H19"/>
  <c r="N17"/>
  <c r="M17"/>
  <c r="L17"/>
  <c r="K17"/>
  <c r="J17"/>
  <c r="I17"/>
  <c r="H17"/>
  <c r="N16"/>
  <c r="M16"/>
  <c r="L16"/>
  <c r="K16"/>
  <c r="J16"/>
  <c r="I16"/>
  <c r="H16"/>
  <c r="N15"/>
  <c r="M15"/>
  <c r="L15"/>
  <c r="K15"/>
  <c r="J15"/>
  <c r="I15"/>
  <c r="H15"/>
  <c r="A1"/>
  <c r="O19" l="1"/>
  <c r="O17"/>
  <c r="I14"/>
  <c r="O47"/>
  <c r="N14"/>
  <c r="H103"/>
  <c r="H107" s="1"/>
  <c r="H139"/>
  <c r="Q139" s="1"/>
  <c r="O51"/>
  <c r="L69"/>
  <c r="N65"/>
  <c r="N69" s="1"/>
  <c r="J14"/>
  <c r="O35"/>
  <c r="J81"/>
  <c r="O81" s="1"/>
  <c r="O90"/>
  <c r="S99"/>
  <c r="H186"/>
  <c r="O186" s="1"/>
  <c r="X186" s="1"/>
  <c r="H14"/>
  <c r="O43"/>
  <c r="O15"/>
  <c r="M14"/>
  <c r="O82"/>
  <c r="R99"/>
  <c r="H203"/>
  <c r="L210"/>
  <c r="U210" s="1"/>
  <c r="K65"/>
  <c r="K69" s="1"/>
  <c r="K107"/>
  <c r="I96"/>
  <c r="O168"/>
  <c r="O120"/>
  <c r="Q120" s="1"/>
  <c r="L14"/>
  <c r="K14"/>
  <c r="O63"/>
  <c r="C20" i="1" s="1"/>
  <c r="H158" i="2"/>
  <c r="O16"/>
  <c r="O31"/>
  <c r="O39"/>
  <c r="H123"/>
  <c r="O163"/>
  <c r="O183"/>
  <c r="O155"/>
  <c r="O68"/>
  <c r="O179"/>
  <c r="J65"/>
  <c r="J69" s="1"/>
  <c r="O151"/>
  <c r="I65"/>
  <c r="I69" s="1"/>
  <c r="O103"/>
  <c r="O107" s="1"/>
  <c r="X210"/>
  <c r="N211"/>
  <c r="N210" s="1"/>
  <c r="W210" s="1"/>
  <c r="M210"/>
  <c r="V210" s="1"/>
  <c r="R139"/>
  <c r="X139" s="1"/>
  <c r="O139"/>
  <c r="Q154" s="1"/>
  <c r="U139"/>
  <c r="O23"/>
  <c r="R73"/>
  <c r="O95"/>
  <c r="M65"/>
  <c r="M69" s="1"/>
  <c r="Q73"/>
  <c r="O83"/>
  <c r="W139"/>
  <c r="O162"/>
  <c r="O194"/>
  <c r="K62"/>
  <c r="O73"/>
  <c r="O92"/>
  <c r="T99"/>
  <c r="O100"/>
  <c r="O123"/>
  <c r="O127" s="1"/>
  <c r="O142"/>
  <c r="M158"/>
  <c r="V158" s="1"/>
  <c r="Q186"/>
  <c r="Q99"/>
  <c r="X99" s="1"/>
  <c r="O211" l="1"/>
  <c r="O210" s="1"/>
  <c r="H62"/>
  <c r="H56" s="1"/>
  <c r="O14"/>
  <c r="O203"/>
  <c r="O207" s="1"/>
  <c r="H207"/>
  <c r="H65"/>
  <c r="H69" s="1"/>
  <c r="H127"/>
  <c r="J62"/>
  <c r="J61" s="1"/>
  <c r="O158"/>
  <c r="Q158"/>
  <c r="X158" s="1"/>
  <c r="L62"/>
  <c r="J56"/>
  <c r="O96"/>
  <c r="N62"/>
  <c r="Q81"/>
  <c r="X73"/>
  <c r="M62"/>
  <c r="K61"/>
  <c r="K56"/>
  <c r="I56"/>
  <c r="I61"/>
  <c r="H61" l="1"/>
  <c r="O65"/>
  <c r="C22" i="1" s="1"/>
  <c r="L56" i="2"/>
  <c r="L61"/>
  <c r="M61"/>
  <c r="M56"/>
  <c r="O62"/>
  <c r="N61"/>
  <c r="N56"/>
  <c r="O69" l="1"/>
  <c r="C25" i="1" s="1"/>
  <c r="O61" i="2"/>
  <c r="S63" s="1"/>
  <c r="S64" s="1"/>
  <c r="R63"/>
  <c r="C19" i="1"/>
  <c r="O56" i="2"/>
  <c r="Q62"/>
  <c r="C18" i="1" l="1"/>
</calcChain>
</file>

<file path=xl/sharedStrings.xml><?xml version="1.0" encoding="utf-8"?>
<sst xmlns="http://schemas.openxmlformats.org/spreadsheetml/2006/main" count="433" uniqueCount="207">
  <si>
    <t>1. Основные положения</t>
  </si>
  <si>
    <t xml:space="preserve">Куратор государственной программы </t>
  </si>
  <si>
    <t xml:space="preserve">Ответственный исполнитель государственной программы </t>
  </si>
  <si>
    <t>Евтушенко С.В. –  министр автомобильных дорог и транспорта Белгородской области</t>
  </si>
  <si>
    <t>Период реализации государственной программы</t>
  </si>
  <si>
    <t>2024 – 2030 годы</t>
  </si>
  <si>
    <t>Цель государственной программы</t>
  </si>
  <si>
    <t xml:space="preserve">Обеспечение доли дорожной сети в крупнейших городских агломерациях, соответствующей
нормативным требованиям, на уровне не менее 85 процентов  к 2030 году                                                </t>
  </si>
  <si>
    <t xml:space="preserve">Направления (подпрограммы) государственной программы </t>
  </si>
  <si>
    <t>Направление (подпрограмма) не выделяется</t>
  </si>
  <si>
    <t>Направление (подпрограмма) N «Наименование»</t>
  </si>
  <si>
    <t>Объемы финансового обеспечения за весь период реализации, в том числе по источникам финансирования:</t>
  </si>
  <si>
    <t>Источник финансового обеспечения</t>
  </si>
  <si>
    <t>Объем финансового обеспечения, тыс. рублей</t>
  </si>
  <si>
    <t>ВСЕГО</t>
  </si>
  <si>
    <t>Региональный бюджет (всего), из них:</t>
  </si>
  <si>
    <t xml:space="preserve">  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</si>
  <si>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</si>
  <si>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</si>
  <si>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 xml:space="preserve"> 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</si>
  <si>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</si>
  <si>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</si>
  <si>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</si>
  <si>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</si>
  <si>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Объем налоговых расходов (справочно)</t>
  </si>
  <si>
    <t>Связь с национальными целями развития Российской Федерации / государственной программой Российской Федерации</t>
  </si>
  <si>
    <t xml:space="preserve">Национальная цель:  «Комфортная и безопасная среда для жизни»                              </t>
  </si>
  <si>
    <t xml:space="preserve"> </t>
  </si>
  <si>
    <t xml:space="preserve">Показатель: 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процентов, опорной сети автомобильных дорог – не менее чем до 85 процентов                        </t>
  </si>
  <si>
    <t>Государственная программа Российской Федерации «Развитие транспортной системы», утвержденная постановлением Правительства Российской Федерации от 20 декабря 2017 года № 1596</t>
  </si>
  <si>
    <t xml:space="preserve">Цель: доведение доли автомобильных дорог регионального и межмуниципального значения, соответствущих нормативным требованиям, до 60 процентов  </t>
  </si>
  <si>
    <t>Связь с целями развития Белгородской области / стратегическими приоритетами Белгородской области</t>
  </si>
  <si>
    <t xml:space="preserve">Цель стратегического развития Белгородской области: обеспечить справедливые возможности                 и достойную жизнь в лучшем регионе России (обеспечение транспортной доступности на всей территории Белгородской области и повышение уровня безопасности транспортной инфраструктуры)                   </t>
  </si>
  <si>
    <t>Показатель: доля протяженности автомобильных дорог общего пользования регионального (межмуниципального) значения, соответствующих нормативным требованиям к транспортно- эксплуатационным показателям, в общей протяженности автомобильных дорог общего пользования регионального или межмуниципального значения</t>
  </si>
  <si>
    <t xml:space="preserve">Приложение </t>
  </si>
  <si>
    <t>к постановлению Правительства                                                                             Белгородской области</t>
  </si>
  <si>
    <t xml:space="preserve">от  _______________________ 2024 г.     </t>
  </si>
  <si>
    <t xml:space="preserve"> № ____________</t>
  </si>
  <si>
    <t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                                                                                                        и дорожной сети Белгородской области» (далее – государственная программа)</t>
  </si>
  <si>
    <t xml:space="preserve">5. Финансовое обеспечение государственной программы </t>
  </si>
  <si>
    <t>Таблица 1</t>
  </si>
  <si>
    <t>№ п/п</t>
  </si>
  <si>
    <t xml:space="preserve">Наименование государственной программы, структурного элемента государственной программы </t>
  </si>
  <si>
    <t>Объем финансового обеспечения по годам реализации, тыс. рублей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</si>
  <si>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</si>
  <si>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</si>
  <si>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</si>
  <si>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</si>
  <si>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</si>
  <si>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</si>
  <si>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</si>
  <si>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</si>
  <si>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</t>
  </si>
  <si>
    <t>Государственная программа Белгородской области «Совершенствование и развитие транспортной системы и дорожной сети Белгородской области»</t>
  </si>
  <si>
    <t>Всего, в том числе:</t>
  </si>
  <si>
    <t>1.1.</t>
  </si>
  <si>
    <t xml:space="preserve">Федеральный бюджет </t>
  </si>
  <si>
    <t>1.2.</t>
  </si>
  <si>
    <t>Областной бюджет</t>
  </si>
  <si>
    <t>1.3.</t>
  </si>
  <si>
    <t>1.4.</t>
  </si>
  <si>
    <t>Общий объем налоговых расходов, предусмотренных в рамках государственной программы (справочно)</t>
  </si>
  <si>
    <t>N 1</t>
  </si>
  <si>
    <t>Региональный проект                                                                             «Региональная и местная дорожная сеть»</t>
  </si>
  <si>
    <t>Бюджет Белгородской области</t>
  </si>
  <si>
    <t>N 2</t>
  </si>
  <si>
    <t>Региональный проект                                                                             «Общесистемные меры развития дорожного хозяйства»</t>
  </si>
  <si>
    <t>2.1.</t>
  </si>
  <si>
    <t>2.2.</t>
  </si>
  <si>
    <t>2.3.</t>
  </si>
  <si>
    <t>N 3</t>
  </si>
  <si>
    <t>Региональный проект                                                                             «Безопасность дорожного движения»</t>
  </si>
  <si>
    <t>3.1.</t>
  </si>
  <si>
    <t>3.2.</t>
  </si>
  <si>
    <t>3.3.</t>
  </si>
  <si>
    <t>N 4</t>
  </si>
  <si>
    <t>Региональный проект «Развитие транспортной инфраструктуры на сельских территориях»</t>
  </si>
  <si>
    <t>4.1.</t>
  </si>
  <si>
    <t>4.2.</t>
  </si>
  <si>
    <t>4.3.</t>
  </si>
  <si>
    <t>Региональный проект «Содействие развитию автомобильных дорог регионального, межмуниципального и местного значения»</t>
  </si>
  <si>
    <t>N 5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</si>
  <si>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и микрорайонов массовой жилищной застройки»</t>
  </si>
  <si>
    <t>5.1.</t>
  </si>
  <si>
    <t>5.2.</t>
  </si>
  <si>
    <t>5.3.</t>
  </si>
  <si>
    <t>N 6</t>
  </si>
  <si>
    <t>Комплекс процессных мероприятий «Обеспечение сохранности существующей сети автомобильных дорог»</t>
  </si>
  <si>
    <t>6.1.</t>
  </si>
  <si>
    <t>6.2.</t>
  </si>
  <si>
    <t>6.3.</t>
  </si>
  <si>
    <t>N 7</t>
  </si>
  <si>
    <t>Комплекс процессных мероприятий «Создание условий для организации транспортного обслуживания населения»</t>
  </si>
  <si>
    <t>7.1.</t>
  </si>
  <si>
    <t>7.2.</t>
  </si>
  <si>
    <t>7.3.</t>
  </si>
  <si>
    <t>N 8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</si>
  <si>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</si>
  <si>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8.1.</t>
  </si>
  <si>
    <t>8.2.</t>
  </si>
  <si>
    <t>8.3.</t>
  </si>
  <si>
    <t xml:space="preserve"> №    п/п</t>
  </si>
  <si>
    <t>Наименование государственной программы, структурного элемента, источник финансового обеспечения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</si>
  <si>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</si>
  <si>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</si>
  <si>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</si>
  <si>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итого</t>
  </si>
  <si>
    <t>Государственная программа «Совершенствование и развитие транспортной системы и дорожной сети Белгородской области»</t>
  </si>
  <si>
    <t xml:space="preserve"> 04 09</t>
  </si>
  <si>
    <t> - межбюджетные трансферты местным бюджетам</t>
  </si>
  <si>
    <t>Региональный проект «Региональная и местная дорожная сеть», входящий в национальный проект</t>
  </si>
  <si>
    <t>10 1 R1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</si>
  <si>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</si>
  <si>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</si>
  <si>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</si>
  <si>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</si>
  <si>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</si>
  <si>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</si>
  <si>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</si>
  <si>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</si>
  <si>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</si>
  <si>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</si>
  <si>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>2.</t>
  </si>
  <si>
    <t>Региональный проект «Общесистемные меры развития дорожного хозяйства», входящий в национальный проект</t>
  </si>
  <si>
    <t>10 1 R2 54180</t>
  </si>
  <si>
    <t>10 1 И9 54180</t>
  </si>
  <si>
    <t>3.</t>
  </si>
  <si>
    <t>Региональный проект «Безопасность дорожного движения», входящий в национальный проект</t>
  </si>
  <si>
    <t xml:space="preserve"> 07 09</t>
  </si>
  <si>
    <t>10 1 R3 R0040</t>
  </si>
  <si>
    <t>4.</t>
  </si>
  <si>
    <t>Региональный проект «Развитие транспортной инфраструктуры на сельских территориях», не входящий в национальный проект</t>
  </si>
  <si>
    <t>10 2 01 R3720</t>
  </si>
  <si>
    <t>5.</t>
  </si>
  <si>
    <t>межбюджетные трансферты местным бюджетам</t>
  </si>
  <si>
    <t>межбюджетные трансферты бюджетам территориальных государственных внебюджетных фондов Российской Федерации</t>
  </si>
  <si>
    <t>Бюджеты территориальных государственных внебюджетных фондов (бюджеты территориальных фондов обязательного медицинского страхования)</t>
  </si>
  <si>
    <t>Консолидированные бюджеты муниципальных образований, из них:</t>
  </si>
  <si>
    <t>межбюджетные трансферты бюджету субъекта Российской Федерации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</si>
  <si>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и микрорайонов массовой жилищной застройки»</t>
  </si>
  <si>
    <t xml:space="preserve">10 3 01 </t>
  </si>
  <si>
    <t>10 3 01 40380</t>
  </si>
  <si>
    <t>200; 400; 800</t>
  </si>
  <si>
    <t>10 3 01 72130</t>
  </si>
  <si>
    <t>10 3 01 9Д010</t>
  </si>
  <si>
    <t>10 3 01 9Д020</t>
  </si>
  <si>
    <t>10 3 01 9Д030</t>
  </si>
  <si>
    <t>10 3 01 9Д040</t>
  </si>
  <si>
    <t>10 3 01 9Д050</t>
  </si>
  <si>
    <t>6.</t>
  </si>
  <si>
    <t>Комплекс процессных мероприятий  «Обеспечение сохранности существующей сети автомобильных дорог и безопасности дорожного движения»</t>
  </si>
  <si>
    <t xml:space="preserve">10 4 01 </t>
  </si>
  <si>
    <t>10 4 01 20570</t>
  </si>
  <si>
    <t>200; 800</t>
  </si>
  <si>
    <t>10 4 01 20360</t>
  </si>
  <si>
    <t>200; 600</t>
  </si>
  <si>
    <t>10 4 01 72140</t>
  </si>
  <si>
    <t>10 4 01 20580</t>
  </si>
  <si>
    <t>10 4 01 9Д060</t>
  </si>
  <si>
    <t>10 4 01 9Д070</t>
  </si>
  <si>
    <t>10 4 01 9Д410</t>
  </si>
  <si>
    <t>10 4 01 9Д080</t>
  </si>
  <si>
    <t>10 4 01 9Д090</t>
  </si>
  <si>
    <t>10 4 01 9Д100</t>
  </si>
  <si>
    <t>10 3 01 9Д090</t>
  </si>
  <si>
    <t>10 4 01 9Д110</t>
  </si>
  <si>
    <t>10 4 01 9Д180</t>
  </si>
  <si>
    <t>10 4 01 9Д120</t>
  </si>
  <si>
    <t>10 4 01 9Д130</t>
  </si>
  <si>
    <t>7.</t>
  </si>
  <si>
    <t>04 08, 10 03</t>
  </si>
  <si>
    <t xml:space="preserve">10 4 02 </t>
  </si>
  <si>
    <t>04 08</t>
  </si>
  <si>
    <t>10 4 02 73810</t>
  </si>
  <si>
    <t>10 4 02 73830</t>
  </si>
  <si>
    <t>10 03</t>
  </si>
  <si>
    <t>10 4 02 73850</t>
  </si>
  <si>
    <t>10 4 02 73860</t>
  </si>
  <si>
    <t xml:space="preserve">10 4 02 21340 </t>
  </si>
  <si>
    <t xml:space="preserve">10 4 02 2144Ф </t>
  </si>
  <si>
    <t>10 4 02 97001</t>
  </si>
  <si>
    <t>10 4 02 60420</t>
  </si>
  <si>
    <t>10 4 02 60430</t>
  </si>
  <si>
    <t>10 4 02 60480</t>
  </si>
  <si>
    <t>10 4 02 60440</t>
  </si>
  <si>
    <t>8.</t>
  </si>
  <si>
    <t>04 08, 04 09</t>
  </si>
  <si>
    <t xml:space="preserve">10 4 03 </t>
  </si>
  <si>
    <t>10 4 03 00190</t>
  </si>
  <si>
    <t>100,200,   800</t>
  </si>
  <si>
    <t>04 09</t>
  </si>
  <si>
    <t>10 4 03 00590</t>
  </si>
  <si>
    <t>100,200,   300,800</t>
  </si>
  <si>
    <t>10 4 03 9Д610</t>
  </si>
  <si>
    <t>Министр автомобильных дорог и транспорта Белгородской области</t>
  </si>
  <si>
    <t>С. Евтушенко</t>
  </si>
  <si>
    <t>Бюджеты муниципальных образований</t>
  </si>
  <si>
    <t xml:space="preserve">                     II.  Паспорт государственной программы Белгородской области «Совершенствование и развитие транспортной системы                                     и дорожной сети Белгородской области» (далее –  государственная программа)</t>
  </si>
  <si>
    <t>10 4 02 2197Д</t>
  </si>
  <si>
    <t>10 1 И5 R0040</t>
  </si>
  <si>
    <t xml:space="preserve">                                                          Белгородской области</t>
  </si>
  <si>
    <t xml:space="preserve">                                                             к постановлению Правительства  </t>
  </si>
  <si>
    <t xml:space="preserve">                                                                    от  _______________________ 2025 г.     </t>
  </si>
  <si>
    <t xml:space="preserve">                                                           № ____________</t>
  </si>
  <si>
    <t xml:space="preserve">                                                           Приложение </t>
  </si>
  <si>
    <t xml:space="preserve">Лоренц А.А. – заместитель Губернатора Белгородской области – руководитель Администрации Губернатора Белгородской области </t>
  </si>
  <si>
    <t xml:space="preserve"> - межбюджетные трансферты из федерального бюджета (справочно)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</si>
</sst>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6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1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0" fontId="5" fillId="0" borderId="0" applyBorder="0" applyProtection="0"/>
    <xf numFmtId="0" fontId="4" fillId="0" borderId="0" applyBorder="0" applyProtection="0"/>
    <xf numFmtId="0" fontId="5" fillId="0" borderId="0" applyBorder="0" applyProtection="0"/>
    <xf numFmtId="0" fontId="5" fillId="0" borderId="0" applyBorder="0" applyProtection="0"/>
    <xf numFmtId="0" fontId="6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3" fillId="0" borderId="0"/>
    <xf numFmtId="0" fontId="21" fillId="0" borderId="0" applyNumberForma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/>
    <xf numFmtId="0" fontId="2" fillId="0" borderId="0"/>
    <xf numFmtId="0" fontId="1" fillId="0" borderId="0"/>
    <xf numFmtId="0" fontId="20" fillId="0" borderId="0"/>
    <xf numFmtId="0" fontId="1" fillId="0" borderId="0"/>
    <xf numFmtId="0" fontId="20" fillId="0" borderId="0"/>
  </cellStyleXfs>
  <cellXfs count="143">
    <xf numFmtId="0" fontId="0" fillId="0" borderId="0" xfId="0"/>
    <xf numFmtId="0" fontId="8" fillId="0" borderId="0" xfId="0" applyFont="1" applyAlignment="1" applyProtection="1">
      <alignment vertical="top" wrapText="1"/>
    </xf>
    <xf numFmtId="0" fontId="9" fillId="0" borderId="0" xfId="1" applyFont="1" applyBorder="1" applyAlignment="1" applyProtection="1">
      <alignment vertical="top" wrapText="1"/>
    </xf>
    <xf numFmtId="0" fontId="10" fillId="0" borderId="0" xfId="0" applyFont="1" applyAlignment="1" applyProtection="1">
      <alignment horizontal="center" wrapText="1"/>
    </xf>
    <xf numFmtId="0" fontId="12" fillId="0" borderId="0" xfId="0" applyFont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top" wrapText="1"/>
    </xf>
    <xf numFmtId="0" fontId="8" fillId="0" borderId="3" xfId="0" applyFont="1" applyBorder="1" applyAlignment="1" applyProtection="1">
      <alignment vertical="center" wrapText="1"/>
    </xf>
    <xf numFmtId="164" fontId="8" fillId="0" borderId="2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top" wrapText="1"/>
    </xf>
    <xf numFmtId="0" fontId="8" fillId="0" borderId="0" xfId="0" applyFont="1" applyAlignment="1" applyProtection="1"/>
    <xf numFmtId="0" fontId="9" fillId="0" borderId="0" xfId="1" applyFont="1" applyBorder="1" applyAlignment="1" applyProtection="1">
      <alignment vertical="top"/>
    </xf>
    <xf numFmtId="0" fontId="1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right" vertical="top"/>
    </xf>
    <xf numFmtId="0" fontId="8" fillId="0" borderId="2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vertical="top"/>
    </xf>
    <xf numFmtId="164" fontId="8" fillId="0" borderId="4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top" wrapText="1"/>
    </xf>
    <xf numFmtId="165" fontId="8" fillId="0" borderId="2" xfId="0" applyNumberFormat="1" applyFont="1" applyBorder="1" applyAlignment="1" applyProtection="1">
      <alignment horizontal="center" vertical="top" wrapText="1"/>
    </xf>
    <xf numFmtId="0" fontId="16" fillId="0" borderId="0" xfId="0" applyFont="1" applyAlignment="1" applyProtection="1"/>
    <xf numFmtId="164" fontId="17" fillId="0" borderId="0" xfId="0" applyNumberFormat="1" applyFont="1" applyAlignment="1" applyProtection="1"/>
    <xf numFmtId="164" fontId="10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right"/>
    </xf>
    <xf numFmtId="164" fontId="8" fillId="0" borderId="0" xfId="0" applyNumberFormat="1" applyFont="1" applyAlignment="1" applyProtection="1"/>
    <xf numFmtId="164" fontId="18" fillId="0" borderId="0" xfId="0" applyNumberFormat="1" applyFont="1" applyAlignment="1" applyProtection="1"/>
    <xf numFmtId="0" fontId="8" fillId="0" borderId="2" xfId="0" applyFont="1" applyBorder="1" applyAlignment="1" applyProtection="1">
      <alignment horizontal="left" vertical="center" wrapText="1" indent="2"/>
    </xf>
    <xf numFmtId="0" fontId="8" fillId="0" borderId="2" xfId="0" applyFont="1" applyBorder="1" applyAlignment="1" applyProtection="1">
      <alignment horizontal="left" vertical="center" wrapText="1" indent="4"/>
    </xf>
    <xf numFmtId="164" fontId="10" fillId="0" borderId="0" xfId="0" applyNumberFormat="1" applyFont="1" applyAlignment="1" applyProtection="1"/>
    <xf numFmtId="0" fontId="19" fillId="0" borderId="0" xfId="0" applyFont="1" applyAlignment="1" applyProtection="1"/>
    <xf numFmtId="0" fontId="17" fillId="0" borderId="0" xfId="0" applyFont="1" applyAlignment="1" applyProtection="1"/>
    <xf numFmtId="0" fontId="8" fillId="0" borderId="2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vertical="top" wrapText="1"/>
    </xf>
    <xf numFmtId="0" fontId="8" fillId="0" borderId="3" xfId="0" applyFont="1" applyFill="1" applyBorder="1" applyAlignment="1" applyProtection="1">
      <alignment vertical="center" wrapText="1"/>
    </xf>
    <xf numFmtId="164" fontId="8" fillId="0" borderId="6" xfId="0" applyNumberFormat="1" applyFont="1" applyFill="1" applyBorder="1" applyAlignment="1" applyProtection="1">
      <alignment horizontal="center" vertical="center" wrapText="1"/>
    </xf>
    <xf numFmtId="164" fontId="8" fillId="0" borderId="4" xfId="0" applyNumberFormat="1" applyFont="1" applyFill="1" applyBorder="1" applyAlignment="1" applyProtection="1">
      <alignment horizontal="center" vertic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164" fontId="8" fillId="0" borderId="5" xfId="0" applyNumberFormat="1" applyFont="1" applyFill="1" applyBorder="1" applyAlignment="1" applyProtection="1">
      <alignment horizontal="center" vertical="center" wrapText="1"/>
    </xf>
    <xf numFmtId="0" fontId="13" fillId="0" borderId="2" xfId="6" applyFont="1" applyFill="1" applyBorder="1" applyAlignment="1" applyProtection="1">
      <alignment horizontal="center" vertical="center" wrapText="1"/>
    </xf>
    <xf numFmtId="3" fontId="13" fillId="0" borderId="2" xfId="6" applyNumberFormat="1" applyFont="1" applyFill="1" applyBorder="1" applyAlignment="1" applyProtection="1">
      <alignment horizontal="center" vertical="center"/>
    </xf>
    <xf numFmtId="164" fontId="8" fillId="0" borderId="2" xfId="6" applyNumberFormat="1" applyFont="1" applyFill="1" applyBorder="1" applyAlignment="1" applyProtection="1">
      <alignment horizontal="center" vertical="center" wrapText="1"/>
    </xf>
    <xf numFmtId="4" fontId="8" fillId="0" borderId="2" xfId="6" applyNumberFormat="1" applyFont="1" applyFill="1" applyBorder="1" applyAlignment="1" applyProtection="1">
      <alignment horizontal="center" vertical="center" wrapText="1"/>
    </xf>
    <xf numFmtId="4" fontId="8" fillId="0" borderId="4" xfId="6" applyNumberFormat="1" applyFont="1" applyFill="1" applyBorder="1" applyAlignment="1" applyProtection="1">
      <alignment horizontal="center" vertical="center" wrapText="1"/>
    </xf>
    <xf numFmtId="0" fontId="13" fillId="0" borderId="5" xfId="6" applyFont="1" applyFill="1" applyBorder="1" applyAlignment="1" applyProtection="1">
      <alignment horizontal="center" vertical="center" wrapText="1"/>
    </xf>
    <xf numFmtId="164" fontId="13" fillId="0" borderId="4" xfId="0" applyNumberFormat="1" applyFont="1" applyFill="1" applyBorder="1" applyAlignment="1" applyProtection="1">
      <alignment horizontal="center" vertical="center"/>
    </xf>
    <xf numFmtId="164" fontId="13" fillId="0" borderId="2" xfId="6" applyNumberFormat="1" applyFont="1" applyFill="1" applyBorder="1" applyAlignment="1" applyProtection="1">
      <alignment horizontal="center" vertical="center"/>
    </xf>
    <xf numFmtId="4" fontId="13" fillId="0" borderId="2" xfId="6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vertical="center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164" fontId="13" fillId="0" borderId="0" xfId="9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left" vertical="center" wrapText="1" indent="2"/>
    </xf>
    <xf numFmtId="0" fontId="8" fillId="0" borderId="2" xfId="0" applyFont="1" applyFill="1" applyBorder="1" applyAlignment="1" applyProtection="1">
      <alignment horizontal="left" vertical="center" wrapText="1" indent="4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left" vertical="center" wrapText="1" indent="2"/>
    </xf>
    <xf numFmtId="164" fontId="8" fillId="0" borderId="3" xfId="5" applyNumberFormat="1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/>
    </xf>
    <xf numFmtId="0" fontId="8" fillId="0" borderId="4" xfId="6" applyFont="1" applyFill="1" applyBorder="1" applyAlignment="1" applyProtection="1">
      <alignment vertical="center"/>
    </xf>
    <xf numFmtId="0" fontId="8" fillId="0" borderId="2" xfId="6" applyFont="1" applyFill="1" applyBorder="1" applyAlignment="1" applyProtection="1"/>
    <xf numFmtId="0" fontId="8" fillId="0" borderId="4" xfId="6" applyFont="1" applyFill="1" applyBorder="1" applyAlignment="1" applyProtection="1"/>
    <xf numFmtId="164" fontId="13" fillId="0" borderId="2" xfId="5" applyNumberFormat="1" applyFont="1" applyFill="1" applyBorder="1" applyAlignment="1" applyProtection="1">
      <alignment horizontal="center" vertical="center"/>
    </xf>
    <xf numFmtId="164" fontId="13" fillId="0" borderId="4" xfId="5" applyNumberFormat="1" applyFont="1" applyFill="1" applyBorder="1" applyAlignment="1" applyProtection="1">
      <alignment horizontal="center" vertical="center"/>
    </xf>
    <xf numFmtId="164" fontId="8" fillId="0" borderId="2" xfId="5" applyNumberFormat="1" applyFont="1" applyFill="1" applyBorder="1" applyAlignment="1" applyProtection="1">
      <alignment horizontal="center" vertical="center" wrapText="1"/>
    </xf>
    <xf numFmtId="164" fontId="8" fillId="0" borderId="4" xfId="6" applyNumberFormat="1" applyFont="1" applyFill="1" applyBorder="1" applyAlignment="1" applyProtection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164" fontId="8" fillId="0" borderId="9" xfId="0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 wrapText="1"/>
    </xf>
    <xf numFmtId="0" fontId="25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/>
    <xf numFmtId="0" fontId="8" fillId="0" borderId="2" xfId="0" applyFont="1" applyFill="1" applyBorder="1" applyAlignment="1" applyProtection="1">
      <alignment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64" fontId="13" fillId="0" borderId="2" xfId="6" applyNumberFormat="1" applyFont="1" applyBorder="1" applyAlignment="1" applyProtection="1">
      <alignment horizontal="center" vertical="center"/>
    </xf>
    <xf numFmtId="0" fontId="13" fillId="0" borderId="5" xfId="19" applyFont="1" applyBorder="1" applyAlignment="1" applyProtection="1">
      <alignment horizontal="center" vertical="center" wrapText="1"/>
    </xf>
    <xf numFmtId="0" fontId="8" fillId="0" borderId="2" xfId="19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vertical="top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top"/>
    </xf>
    <xf numFmtId="0" fontId="10" fillId="0" borderId="2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0" fontId="10" fillId="0" borderId="3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 applyProtection="1">
      <alignment horizontal="center" vertical="top"/>
    </xf>
    <xf numFmtId="0" fontId="10" fillId="0" borderId="8" xfId="0" applyFont="1" applyFill="1" applyBorder="1" applyAlignment="1" applyProtection="1">
      <alignment horizontal="center" vertical="top"/>
    </xf>
    <xf numFmtId="0" fontId="10" fillId="0" borderId="3" xfId="0" applyFont="1" applyFill="1" applyBorder="1" applyAlignment="1" applyProtection="1">
      <alignment horizontal="center" vertical="top"/>
    </xf>
    <xf numFmtId="0" fontId="13" fillId="0" borderId="5" xfId="0" applyFont="1" applyFill="1" applyBorder="1" applyAlignment="1" applyProtection="1">
      <alignment horizontal="left" vertical="center" wrapText="1"/>
    </xf>
    <xf numFmtId="0" fontId="13" fillId="0" borderId="8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</cellXfs>
  <cellStyles count="20">
    <cellStyle name="Гиперссылка" xfId="1" builtinId="8"/>
    <cellStyle name="Гиперссылка 2" xfId="2"/>
    <cellStyle name="Гиперссылка 2 2" xfId="3"/>
    <cellStyle name="Гиперссылка 2 3" xfId="4"/>
    <cellStyle name="Гиперссылка 2 4" xfId="13"/>
    <cellStyle name="Гиперссылка 3" xfId="11"/>
    <cellStyle name="Обычный" xfId="0" builtinId="0"/>
    <cellStyle name="Обычный 12 2" xfId="19"/>
    <cellStyle name="Обычный 2" xfId="5"/>
    <cellStyle name="Обычный 2 2" xfId="6"/>
    <cellStyle name="Обычный 2 3" xfId="7"/>
    <cellStyle name="Обычный 2 4" xfId="12"/>
    <cellStyle name="Обычный 20" xfId="14"/>
    <cellStyle name="Обычный 20 2" xfId="17"/>
    <cellStyle name="Обычный 3" xfId="8"/>
    <cellStyle name="Обычный 4" xfId="10"/>
    <cellStyle name="Обычный 4 2" xfId="16"/>
    <cellStyle name="Обычный 5" xfId="15"/>
    <cellStyle name="Обычный 5 2" xfId="18"/>
    <cellStyle name="Стиль 1" xfId="9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5.%20&#1092;&#1080;&#1085;&#1072;&#1085;&#1089;&#1080;&#1088;&#1086;&#1074;%2026.11.2024%20&#1091;&#1090;&#1086;&#109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../&#1053;&#1054;&#1042;&#1040;&#1071;%20&#1043;&#1055;%20&#1074;&#1085;&#1077;&#1089;&#1077;&#1085;&#1077;&#1085;&#1080;&#1077;%20&#1080;&#1079;&#1084;&#1077;&#1085;&#1077;&#1085;&#1080;&#1081;%20&#1074;%20&#8470;%20730-&#1087;&#1087;/&#1053;&#1086;&#1074;&#1086;&#1077;%20&#1087;&#1086;&#1089;&#1090;&#1072;&#1085;&#1086;&#1074;&#1083;&#1077;&#1085;&#1080;&#1077;%20&#1084;&#1072;&#1088;&#1090;%20-%20&#1072;&#1087;&#1088;&#1077;&#1083;&#1100;%202024%20&#1075;&#1086;&#1076;%20-%20&#1074;%20&#1087;&#1088;&#1086;&#1090;&#1086;&#1082;&#1086;&#1083;&#1100;&#1085;&#1099;&#1081;%20(&#8470;%20173-&#1087;&#1087;%20&#1086;&#1090;%2029.04.2024)/2.%20&#1043;&#1054;&#1057;&#1055;&#1056;&#1054;&#1043;&#1056;&#1040;&#1052;&#1052;&#1040;%20&#1059;&#1058;&#1054;&#1063;%20(&#1089;&#1090;&#1088;%207-13)%20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. финансиров 26.1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. Показатели ГП УТОЧ"/>
      <sheetName val="3. Показатели ГП_по месяцам"/>
      <sheetName val="5. Финансовое обеспечение ГП"/>
    </sheetNames>
    <sheetDataSet>
      <sheetData sheetId="0"/>
      <sheetData sheetId="1"/>
      <sheetData sheetId="2">
        <row r="56">
          <cell r="H56">
            <v>13127435.835999999</v>
          </cell>
          <cell r="I56">
            <v>15532607.199999999</v>
          </cell>
          <cell r="J56">
            <v>16011444.699999999</v>
          </cell>
          <cell r="K56">
            <v>16128852.992000001</v>
          </cell>
          <cell r="L56">
            <v>16850008.367679998</v>
          </cell>
          <cell r="M56">
            <v>17855401.4383872</v>
          </cell>
          <cell r="N56">
            <v>18202391.811922699</v>
          </cell>
          <cell r="O56">
            <v>113708142.34599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38"/>
  <sheetViews>
    <sheetView view="pageBreakPreview" topLeftCell="A13" zoomScale="80" zoomScalePageLayoutView="80" workbookViewId="0">
      <selection activeCell="A17" sqref="A17:C23"/>
    </sheetView>
  </sheetViews>
  <sheetFormatPr defaultColWidth="9.140625" defaultRowHeight="15.75"/>
  <cols>
    <col min="1" max="1" width="56.85546875" style="1" customWidth="1"/>
    <col min="2" max="2" width="69.85546875" style="1" customWidth="1"/>
    <col min="3" max="3" width="26.42578125" style="1" customWidth="1"/>
    <col min="4" max="16384" width="9.140625" style="1"/>
  </cols>
  <sheetData>
    <row r="1" spans="1:3" ht="26.25" customHeight="1">
      <c r="A1" s="2"/>
      <c r="B1" s="101" t="s">
        <v>204</v>
      </c>
      <c r="C1" s="101"/>
    </row>
    <row r="2" spans="1:3" ht="23.25" customHeight="1">
      <c r="A2" s="2"/>
      <c r="B2" s="101" t="s">
        <v>201</v>
      </c>
      <c r="C2" s="101"/>
    </row>
    <row r="3" spans="1:3" ht="23.25" customHeight="1">
      <c r="A3" s="2"/>
      <c r="B3" s="101" t="s">
        <v>200</v>
      </c>
      <c r="C3" s="101"/>
    </row>
    <row r="4" spans="1:3" ht="31.5" customHeight="1">
      <c r="A4" s="2"/>
      <c r="B4" s="101" t="s">
        <v>202</v>
      </c>
      <c r="C4" s="101"/>
    </row>
    <row r="5" spans="1:3" ht="30" customHeight="1">
      <c r="A5" s="2"/>
      <c r="B5" s="101" t="s">
        <v>203</v>
      </c>
      <c r="C5" s="101"/>
    </row>
    <row r="6" spans="1:3" ht="21.75" customHeight="1">
      <c r="A6" s="2"/>
      <c r="B6" s="3"/>
      <c r="C6" s="3"/>
    </row>
    <row r="7" spans="1:3" ht="36.75" customHeight="1">
      <c r="A7" s="102" t="s">
        <v>197</v>
      </c>
      <c r="B7" s="102"/>
      <c r="C7" s="102"/>
    </row>
    <row r="8" spans="1:3" ht="12" customHeight="1">
      <c r="A8" s="4"/>
      <c r="B8" s="4"/>
      <c r="C8" s="4"/>
    </row>
    <row r="9" spans="1:3" ht="18.75" customHeight="1">
      <c r="A9" s="103" t="s">
        <v>0</v>
      </c>
      <c r="B9" s="103"/>
      <c r="C9" s="103"/>
    </row>
    <row r="10" spans="1:3" ht="16.5" customHeight="1">
      <c r="A10" s="5"/>
      <c r="B10" s="5"/>
      <c r="C10" s="5"/>
    </row>
    <row r="11" spans="1:3" ht="33" customHeight="1">
      <c r="A11" s="6" t="s">
        <v>1</v>
      </c>
      <c r="B11" s="104" t="s">
        <v>205</v>
      </c>
      <c r="C11" s="104"/>
    </row>
    <row r="12" spans="1:3" ht="34.5" customHeight="1">
      <c r="A12" s="6" t="s">
        <v>2</v>
      </c>
      <c r="B12" s="104" t="s">
        <v>3</v>
      </c>
      <c r="C12" s="104"/>
    </row>
    <row r="13" spans="1:3" ht="15.75" customHeight="1">
      <c r="A13" s="6" t="s">
        <v>4</v>
      </c>
      <c r="B13" s="104" t="s">
        <v>5</v>
      </c>
      <c r="C13" s="104"/>
    </row>
    <row r="14" spans="1:3" ht="31.5" customHeight="1">
      <c r="A14" s="6" t="s">
        <v>6</v>
      </c>
      <c r="B14" s="105" t="s">
        <v>7</v>
      </c>
      <c r="C14" s="105"/>
    </row>
    <row r="15" spans="1:3" ht="32.25" customHeight="1">
      <c r="A15" s="106" t="s">
        <v>8</v>
      </c>
      <c r="B15" s="107" t="s">
        <v>9</v>
      </c>
      <c r="C15" s="107"/>
    </row>
    <row r="16" spans="1:3" ht="29.25" hidden="1" customHeight="1">
      <c r="A16" s="106"/>
      <c r="B16" s="107" t="s">
        <v>10</v>
      </c>
      <c r="C16" s="107"/>
    </row>
    <row r="17" spans="1:9" ht="37.5" customHeight="1">
      <c r="A17" s="104" t="s">
        <v>11</v>
      </c>
      <c r="B17" s="97" t="s">
        <v>12</v>
      </c>
      <c r="C17" s="97" t="s">
        <v>13</v>
      </c>
    </row>
    <row r="18" spans="1:9" ht="23.25" customHeight="1">
      <c r="A18" s="104"/>
      <c r="B18" s="95" t="s">
        <v>14</v>
      </c>
      <c r="C18" s="8">
        <f>'5. Финансиров 09.09.2025'!O61</f>
        <v>121806201.23928398</v>
      </c>
    </row>
    <row r="19" spans="1:9" ht="19.5" customHeight="1">
      <c r="A19" s="104"/>
      <c r="B19" s="96" t="s">
        <v>15</v>
      </c>
      <c r="C19" s="8">
        <f>'5. Финансиров 09.09.2025'!O62</f>
        <v>121220989.77528399</v>
      </c>
      <c r="F19" s="1" t="s">
        <v>16</v>
      </c>
    </row>
    <row r="20" spans="1:9" ht="25.5" customHeight="1">
      <c r="A20" s="104"/>
      <c r="B20" s="96" t="s">
        <v>17</v>
      </c>
      <c r="C20" s="8">
        <f>'5. Финансиров 09.09.2025'!O63</f>
        <v>13996146.099999998</v>
      </c>
    </row>
    <row r="21" spans="1:9" ht="36.75" customHeight="1">
      <c r="A21" s="104"/>
      <c r="B21" s="96" t="s">
        <v>18</v>
      </c>
      <c r="C21" s="8"/>
    </row>
    <row r="22" spans="1:9" ht="19.5" customHeight="1">
      <c r="A22" s="104"/>
      <c r="B22" s="9" t="s">
        <v>19</v>
      </c>
      <c r="C22" s="8">
        <f>'5. Финансиров 09.09.2025'!O65</f>
        <v>11179334.5</v>
      </c>
    </row>
    <row r="23" spans="1:9" ht="57.75" customHeight="1">
      <c r="A23" s="104"/>
      <c r="B23" s="96" t="s">
        <v>20</v>
      </c>
      <c r="C23" s="8"/>
    </row>
    <row r="24" spans="1:9" ht="48.75" customHeight="1">
      <c r="A24" s="104"/>
      <c r="B24" s="6" t="s">
        <v>21</v>
      </c>
      <c r="C24" s="8"/>
    </row>
    <row r="25" spans="1:9" ht="22.5" customHeight="1">
      <c r="A25" s="104"/>
      <c r="B25" s="6" t="s">
        <v>22</v>
      </c>
      <c r="C25" s="10">
        <f>'5. Финансиров 09.09.2025'!O69</f>
        <v>11749353.764</v>
      </c>
    </row>
    <row r="26" spans="1:9" ht="22.5" customHeight="1">
      <c r="A26" s="104"/>
      <c r="B26" s="6" t="s">
        <v>23</v>
      </c>
      <c r="C26" s="8">
        <f>'5. Финансиров 09.09.2025'!O70</f>
        <v>15192.1</v>
      </c>
    </row>
    <row r="27" spans="1:9" ht="24" customHeight="1">
      <c r="A27" s="104"/>
      <c r="B27" s="6" t="s">
        <v>24</v>
      </c>
      <c r="C27" s="8"/>
    </row>
    <row r="28" spans="1:9" ht="24.75" customHeight="1">
      <c r="A28" s="106" t="s">
        <v>25</v>
      </c>
      <c r="B28" s="107" t="s">
        <v>26</v>
      </c>
      <c r="C28" s="107"/>
      <c r="I28" s="1" t="s">
        <v>27</v>
      </c>
    </row>
    <row r="29" spans="1:9" ht="54.95" customHeight="1">
      <c r="A29" s="106"/>
      <c r="B29" s="108" t="s">
        <v>28</v>
      </c>
      <c r="C29" s="108"/>
    </row>
    <row r="30" spans="1:9" ht="50.25" customHeight="1">
      <c r="A30" s="106"/>
      <c r="B30" s="107" t="s">
        <v>29</v>
      </c>
      <c r="C30" s="107"/>
    </row>
    <row r="31" spans="1:9" ht="48.6" customHeight="1">
      <c r="A31" s="106"/>
      <c r="B31" s="108" t="s">
        <v>30</v>
      </c>
      <c r="C31" s="108"/>
    </row>
    <row r="32" spans="1:9" ht="69" customHeight="1">
      <c r="A32" s="104" t="s">
        <v>31</v>
      </c>
      <c r="B32" s="105" t="s">
        <v>32</v>
      </c>
      <c r="C32" s="105"/>
    </row>
    <row r="33" spans="1:3" ht="76.5" customHeight="1">
      <c r="A33" s="104"/>
      <c r="B33" s="107" t="s">
        <v>33</v>
      </c>
      <c r="C33" s="107"/>
    </row>
    <row r="35" spans="1:3" ht="225" customHeight="1"/>
    <row r="38" spans="1:3" ht="36" customHeight="1"/>
  </sheetData>
  <mergeCells count="24">
    <mergeCell ref="A32:A33"/>
    <mergeCell ref="B32:C32"/>
    <mergeCell ref="B33:C33"/>
    <mergeCell ref="A28:A31"/>
    <mergeCell ref="B28:C28"/>
    <mergeCell ref="B29:C29"/>
    <mergeCell ref="B30:C30"/>
    <mergeCell ref="B31:C31"/>
    <mergeCell ref="A15:A16"/>
    <mergeCell ref="B15:C15"/>
    <mergeCell ref="B16:C16"/>
    <mergeCell ref="A17:A23"/>
    <mergeCell ref="A24:A27"/>
    <mergeCell ref="A9:C9"/>
    <mergeCell ref="B11:C11"/>
    <mergeCell ref="B12:C12"/>
    <mergeCell ref="B13:C13"/>
    <mergeCell ref="B14:C14"/>
    <mergeCell ref="B1:C1"/>
    <mergeCell ref="B2:C2"/>
    <mergeCell ref="B4:C4"/>
    <mergeCell ref="B5:C5"/>
    <mergeCell ref="A7:C7"/>
    <mergeCell ref="B3:C3"/>
  </mergeCells>
  <printOptions horizontalCentered="1"/>
  <pageMargins left="0.39370078740157483" right="0.39370078740157483" top="0.51181102362204722" bottom="0.39370078740157483" header="0.19685039370078741" footer="0.51181102362204722"/>
  <pageSetup paperSize="9" scale="90" firstPageNumber="2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X231"/>
  <sheetViews>
    <sheetView tabSelected="1" view="pageBreakPreview" topLeftCell="A9" zoomScale="70" zoomScalePageLayoutView="70" workbookViewId="0">
      <pane xSplit="3" ySplit="53" topLeftCell="D202" activePane="bottomRight" state="frozen"/>
      <selection activeCell="A9" sqref="A9"/>
      <selection pane="topRight" activeCell="D9" sqref="D9"/>
      <selection pane="bottomLeft" activeCell="A75" sqref="A75"/>
      <selection pane="bottomRight" activeCell="E211" sqref="E211"/>
    </sheetView>
  </sheetViews>
  <sheetFormatPr defaultColWidth="9.140625" defaultRowHeight="15.75"/>
  <cols>
    <col min="1" max="1" width="7.140625" style="12" customWidth="1"/>
    <col min="2" max="2" width="53" style="12" hidden="1" customWidth="1"/>
    <col min="3" max="3" width="60.85546875" style="12" customWidth="1"/>
    <col min="4" max="4" width="6.42578125" style="12" customWidth="1"/>
    <col min="5" max="5" width="8" style="12" customWidth="1"/>
    <col min="6" max="6" width="16.28515625" style="12" customWidth="1"/>
    <col min="7" max="7" width="9.5703125" style="12" customWidth="1"/>
    <col min="8" max="8" width="14.28515625" style="12" customWidth="1"/>
    <col min="9" max="9" width="13.85546875" style="12" customWidth="1"/>
    <col min="10" max="10" width="14.5703125" style="12" customWidth="1"/>
    <col min="11" max="11" width="14.7109375" style="12" customWidth="1"/>
    <col min="12" max="12" width="14" style="12" customWidth="1"/>
    <col min="13" max="13" width="14.28515625" style="12" customWidth="1"/>
    <col min="14" max="14" width="14.5703125" style="12" customWidth="1"/>
    <col min="15" max="15" width="15.28515625" style="12" customWidth="1"/>
    <col min="16" max="16" width="11.5703125" style="12" hidden="1" customWidth="1"/>
    <col min="17" max="17" width="15.28515625" style="12" customWidth="1"/>
    <col min="18" max="18" width="26.42578125" style="12" customWidth="1"/>
    <col min="19" max="19" width="17.7109375" style="12" customWidth="1"/>
    <col min="20" max="20" width="18.7109375" style="12" customWidth="1"/>
    <col min="21" max="21" width="13" style="12" customWidth="1"/>
    <col min="22" max="22" width="13.140625" style="12" customWidth="1"/>
    <col min="23" max="23" width="14.7109375" style="12" customWidth="1"/>
    <col min="24" max="24" width="15" style="12" customWidth="1"/>
    <col min="25" max="16384" width="9.140625" style="12"/>
  </cols>
  <sheetData>
    <row r="1" spans="1:15" hidden="1">
      <c r="A1" s="13" t="str">
        <f>HYPERLINK("#Оглавление!A1","Назад в оглавление")</f>
        <v>Назад в оглавление</v>
      </c>
    </row>
    <row r="2" spans="1:15" ht="19.5" hidden="1" customHeight="1">
      <c r="A2" s="13"/>
      <c r="K2" s="117" t="s">
        <v>34</v>
      </c>
      <c r="L2" s="117"/>
      <c r="M2" s="117"/>
      <c r="N2" s="117"/>
      <c r="O2" s="117"/>
    </row>
    <row r="3" spans="1:15" ht="48.75" hidden="1" customHeight="1">
      <c r="A3" s="13"/>
      <c r="K3" s="118" t="s">
        <v>35</v>
      </c>
      <c r="L3" s="118"/>
      <c r="M3" s="118"/>
      <c r="N3" s="118"/>
      <c r="O3" s="118"/>
    </row>
    <row r="4" spans="1:15" ht="24.75" hidden="1" customHeight="1">
      <c r="A4" s="13"/>
      <c r="K4" s="117" t="s">
        <v>36</v>
      </c>
      <c r="L4" s="117"/>
      <c r="M4" s="117"/>
      <c r="N4" s="117"/>
      <c r="O4" s="117"/>
    </row>
    <row r="5" spans="1:15" ht="30.75" hidden="1" customHeight="1">
      <c r="A5" s="13"/>
      <c r="K5" s="117" t="s">
        <v>37</v>
      </c>
      <c r="L5" s="117"/>
      <c r="M5" s="117"/>
      <c r="N5" s="117"/>
      <c r="O5" s="117"/>
    </row>
    <row r="6" spans="1:15" hidden="1">
      <c r="A6" s="13"/>
    </row>
    <row r="7" spans="1:15" ht="53.25" hidden="1" customHeight="1">
      <c r="A7" s="119" t="s">
        <v>38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24.75" hidden="1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21.75" customHeight="1">
      <c r="A9" s="114" t="s">
        <v>39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</row>
    <row r="10" spans="1:15" hidden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 t="s">
        <v>40</v>
      </c>
    </row>
    <row r="11" spans="1:15" ht="32.25" hidden="1" customHeight="1">
      <c r="A11" s="115" t="s">
        <v>41</v>
      </c>
      <c r="B11" s="115" t="s">
        <v>42</v>
      </c>
      <c r="C11" s="116" t="s">
        <v>12</v>
      </c>
      <c r="D11" s="17"/>
      <c r="E11" s="17"/>
      <c r="F11" s="17"/>
      <c r="G11" s="17"/>
      <c r="H11" s="115" t="s">
        <v>43</v>
      </c>
      <c r="I11" s="115"/>
      <c r="J11" s="115"/>
      <c r="K11" s="115"/>
      <c r="L11" s="115"/>
      <c r="M11" s="115"/>
      <c r="N11" s="115"/>
      <c r="O11" s="115"/>
    </row>
    <row r="12" spans="1:15" ht="19.5" hidden="1" customHeight="1">
      <c r="A12" s="115"/>
      <c r="B12" s="115"/>
      <c r="C12" s="116"/>
      <c r="D12" s="17"/>
      <c r="E12" s="17"/>
      <c r="F12" s="17"/>
      <c r="G12" s="17"/>
      <c r="H12" s="7" t="s">
        <v>44</v>
      </c>
      <c r="I12" s="7" t="s">
        <v>45</v>
      </c>
      <c r="J12" s="7" t="s">
        <v>46</v>
      </c>
      <c r="K12" s="7" t="s">
        <v>47</v>
      </c>
      <c r="L12" s="7" t="s">
        <v>48</v>
      </c>
      <c r="M12" s="7" t="s">
        <v>49</v>
      </c>
      <c r="N12" s="7" t="s">
        <v>50</v>
      </c>
      <c r="O12" s="7" t="s">
        <v>51</v>
      </c>
    </row>
    <row r="13" spans="1:15" hidden="1">
      <c r="A13" s="18">
        <v>1</v>
      </c>
      <c r="B13" s="18">
        <v>2</v>
      </c>
      <c r="C13" s="18">
        <v>3</v>
      </c>
      <c r="D13" s="18"/>
      <c r="E13" s="18"/>
      <c r="F13" s="18"/>
      <c r="G13" s="18"/>
      <c r="H13" s="18">
        <v>4</v>
      </c>
      <c r="I13" s="18">
        <v>5</v>
      </c>
      <c r="J13" s="18">
        <v>6</v>
      </c>
      <c r="K13" s="18">
        <v>7</v>
      </c>
      <c r="L13" s="18">
        <v>8</v>
      </c>
      <c r="M13" s="18">
        <v>9</v>
      </c>
      <c r="N13" s="18">
        <v>10</v>
      </c>
      <c r="O13" s="18">
        <v>11</v>
      </c>
    </row>
    <row r="14" spans="1:15" ht="24" hidden="1" customHeight="1">
      <c r="A14" s="11" t="s">
        <v>52</v>
      </c>
      <c r="B14" s="106" t="s">
        <v>53</v>
      </c>
      <c r="C14" s="11" t="s">
        <v>54</v>
      </c>
      <c r="D14" s="11"/>
      <c r="E14" s="11"/>
      <c r="F14" s="11"/>
      <c r="G14" s="11"/>
      <c r="H14" s="8">
        <f t="shared" ref="H14:N17" si="0">H19+H23+H27+H31+H35+H39+H43+H47+H51</f>
        <v>13730036</v>
      </c>
      <c r="I14" s="8">
        <f t="shared" si="0"/>
        <v>14980954.799999999</v>
      </c>
      <c r="J14" s="8">
        <f t="shared" si="0"/>
        <v>15011989.799999999</v>
      </c>
      <c r="K14" s="8">
        <f t="shared" si="0"/>
        <v>16392115.899999999</v>
      </c>
      <c r="L14" s="8">
        <f t="shared" si="0"/>
        <v>17913964.5</v>
      </c>
      <c r="M14" s="8">
        <f t="shared" si="0"/>
        <v>17610107.599999998</v>
      </c>
      <c r="N14" s="8">
        <f t="shared" si="0"/>
        <v>18467118.800000001</v>
      </c>
      <c r="O14" s="8">
        <f>SUM(H14:N14)</f>
        <v>114106287.39999999</v>
      </c>
    </row>
    <row r="15" spans="1:15" ht="21" hidden="1" customHeight="1">
      <c r="A15" s="11" t="s">
        <v>55</v>
      </c>
      <c r="B15" s="106"/>
      <c r="C15" s="11" t="s">
        <v>56</v>
      </c>
      <c r="D15" s="11"/>
      <c r="E15" s="11"/>
      <c r="F15" s="11"/>
      <c r="G15" s="11"/>
      <c r="H15" s="8">
        <f t="shared" si="0"/>
        <v>1850747.4</v>
      </c>
      <c r="I15" s="8">
        <f t="shared" si="0"/>
        <v>2703755.0999999996</v>
      </c>
      <c r="J15" s="8">
        <f t="shared" si="0"/>
        <v>0</v>
      </c>
      <c r="K15" s="8">
        <f t="shared" si="0"/>
        <v>1067524</v>
      </c>
      <c r="L15" s="8">
        <f t="shared" si="0"/>
        <v>2287340</v>
      </c>
      <c r="M15" s="8">
        <f t="shared" si="0"/>
        <v>1480000</v>
      </c>
      <c r="N15" s="8">
        <f t="shared" si="0"/>
        <v>1778445.7</v>
      </c>
      <c r="O15" s="8">
        <f>SUM(H15:N15)</f>
        <v>11167812.199999999</v>
      </c>
    </row>
    <row r="16" spans="1:15" ht="20.25" hidden="1" customHeight="1">
      <c r="A16" s="11" t="s">
        <v>57</v>
      </c>
      <c r="B16" s="106"/>
      <c r="C16" s="11" t="s">
        <v>58</v>
      </c>
      <c r="D16" s="11"/>
      <c r="E16" s="11"/>
      <c r="F16" s="11"/>
      <c r="G16" s="11"/>
      <c r="H16" s="8">
        <f t="shared" si="0"/>
        <v>11772619.300000001</v>
      </c>
      <c r="I16" s="8">
        <f t="shared" si="0"/>
        <v>12269788.799999999</v>
      </c>
      <c r="J16" s="8">
        <f t="shared" si="0"/>
        <v>15010092.799999999</v>
      </c>
      <c r="K16" s="8">
        <f t="shared" si="0"/>
        <v>15322694.899999999</v>
      </c>
      <c r="L16" s="8">
        <f t="shared" si="0"/>
        <v>15624727.5</v>
      </c>
      <c r="M16" s="8">
        <f t="shared" si="0"/>
        <v>16128210.6</v>
      </c>
      <c r="N16" s="8">
        <f t="shared" si="0"/>
        <v>16686776.1</v>
      </c>
      <c r="O16" s="8">
        <f>SUM(H16:N16)</f>
        <v>102814909.99999999</v>
      </c>
    </row>
    <row r="17" spans="1:15" ht="23.25" hidden="1" customHeight="1">
      <c r="A17" s="11" t="s">
        <v>59</v>
      </c>
      <c r="B17" s="106"/>
      <c r="C17" s="11" t="s">
        <v>22</v>
      </c>
      <c r="D17" s="11"/>
      <c r="E17" s="11"/>
      <c r="F17" s="11"/>
      <c r="G17" s="11"/>
      <c r="H17" s="8">
        <f t="shared" si="0"/>
        <v>106669.3</v>
      </c>
      <c r="I17" s="8">
        <f t="shared" si="0"/>
        <v>7410.9</v>
      </c>
      <c r="J17" s="8">
        <f t="shared" si="0"/>
        <v>1897</v>
      </c>
      <c r="K17" s="8">
        <f t="shared" si="0"/>
        <v>1897</v>
      </c>
      <c r="L17" s="8">
        <f t="shared" si="0"/>
        <v>1897</v>
      </c>
      <c r="M17" s="8">
        <f t="shared" si="0"/>
        <v>1897</v>
      </c>
      <c r="N17" s="8">
        <f t="shared" si="0"/>
        <v>1897</v>
      </c>
      <c r="O17" s="8">
        <f>SUM(H17:N17)</f>
        <v>123565.2</v>
      </c>
    </row>
    <row r="18" spans="1:15" ht="18" hidden="1" customHeight="1">
      <c r="A18" s="11" t="s">
        <v>60</v>
      </c>
      <c r="B18" s="112" t="s">
        <v>61</v>
      </c>
      <c r="C18" s="112"/>
      <c r="D18" s="19"/>
      <c r="E18" s="19"/>
      <c r="F18" s="19"/>
      <c r="G18" s="19"/>
      <c r="H18" s="18"/>
      <c r="I18" s="18"/>
      <c r="J18" s="18"/>
      <c r="K18" s="18"/>
      <c r="L18" s="18"/>
      <c r="M18" s="18"/>
      <c r="N18" s="18"/>
      <c r="O18" s="18"/>
    </row>
    <row r="19" spans="1:15" ht="15.75" hidden="1" customHeight="1">
      <c r="A19" s="11" t="s">
        <v>62</v>
      </c>
      <c r="B19" s="106" t="s">
        <v>63</v>
      </c>
      <c r="C19" s="11" t="s">
        <v>54</v>
      </c>
      <c r="D19" s="11"/>
      <c r="E19" s="11"/>
      <c r="F19" s="11"/>
      <c r="G19" s="11"/>
      <c r="H19" s="10">
        <f>SUM(H20:H22)</f>
        <v>4960648.5</v>
      </c>
      <c r="I19" s="20">
        <f>SUM(I20:I22)</f>
        <v>2903908.1999999997</v>
      </c>
      <c r="J19" s="20">
        <f>SUM(J20:J22)</f>
        <v>673</v>
      </c>
      <c r="K19" s="11"/>
      <c r="L19" s="11"/>
      <c r="M19" s="11"/>
      <c r="N19" s="11"/>
      <c r="O19" s="8">
        <f t="shared" ref="O19:O41" si="1">SUM(H19:N19)</f>
        <v>7865229.6999999993</v>
      </c>
    </row>
    <row r="20" spans="1:15" hidden="1">
      <c r="A20" s="11" t="s">
        <v>55</v>
      </c>
      <c r="B20" s="106"/>
      <c r="C20" s="11" t="s">
        <v>56</v>
      </c>
      <c r="D20" s="11"/>
      <c r="E20" s="11"/>
      <c r="F20" s="11"/>
      <c r="G20" s="11"/>
      <c r="H20" s="10">
        <v>1756093.2</v>
      </c>
      <c r="I20" s="20">
        <v>2673266.7999999998</v>
      </c>
      <c r="J20" s="18">
        <v>0</v>
      </c>
      <c r="K20" s="18"/>
      <c r="L20" s="18"/>
      <c r="M20" s="18"/>
      <c r="N20" s="18"/>
      <c r="O20" s="8">
        <f t="shared" si="1"/>
        <v>4429360</v>
      </c>
    </row>
    <row r="21" spans="1:15" hidden="1">
      <c r="A21" s="11" t="s">
        <v>57</v>
      </c>
      <c r="B21" s="106"/>
      <c r="C21" s="11" t="s">
        <v>64</v>
      </c>
      <c r="D21" s="11"/>
      <c r="E21" s="11"/>
      <c r="F21" s="11"/>
      <c r="G21" s="11"/>
      <c r="H21" s="10">
        <v>3185325</v>
      </c>
      <c r="I21" s="20">
        <v>225127.5</v>
      </c>
      <c r="J21" s="18">
        <v>673</v>
      </c>
      <c r="K21" s="18"/>
      <c r="L21" s="18"/>
      <c r="M21" s="18"/>
      <c r="N21" s="18"/>
      <c r="O21" s="8">
        <f t="shared" si="1"/>
        <v>3411125.5</v>
      </c>
    </row>
    <row r="22" spans="1:15" ht="31.5" hidden="1">
      <c r="A22" s="11" t="s">
        <v>59</v>
      </c>
      <c r="B22" s="106"/>
      <c r="C22" s="11" t="s">
        <v>22</v>
      </c>
      <c r="D22" s="11"/>
      <c r="E22" s="11"/>
      <c r="F22" s="11"/>
      <c r="G22" s="11"/>
      <c r="H22" s="10">
        <v>19230.3</v>
      </c>
      <c r="I22" s="20">
        <v>5513.9</v>
      </c>
      <c r="J22" s="18">
        <v>0</v>
      </c>
      <c r="K22" s="18"/>
      <c r="L22" s="18"/>
      <c r="M22" s="18"/>
      <c r="N22" s="18"/>
      <c r="O22" s="8">
        <f t="shared" si="1"/>
        <v>24744.199999999997</v>
      </c>
    </row>
    <row r="23" spans="1:15" ht="15.75" hidden="1" customHeight="1">
      <c r="A23" s="11" t="s">
        <v>65</v>
      </c>
      <c r="B23" s="106" t="s">
        <v>66</v>
      </c>
      <c r="C23" s="11" t="s">
        <v>54</v>
      </c>
      <c r="D23" s="11"/>
      <c r="E23" s="11"/>
      <c r="F23" s="11"/>
      <c r="G23" s="11"/>
      <c r="H23" s="21">
        <f>SUM(H24:H26)</f>
        <v>36078.699999999997</v>
      </c>
      <c r="I23" s="22">
        <f>SUM(I24:I26)</f>
        <v>31758.7</v>
      </c>
      <c r="J23" s="11"/>
      <c r="K23" s="11"/>
      <c r="L23" s="11"/>
      <c r="M23" s="11"/>
      <c r="N23" s="11"/>
      <c r="O23" s="8">
        <f t="shared" si="1"/>
        <v>67837.399999999994</v>
      </c>
    </row>
    <row r="24" spans="1:15" hidden="1">
      <c r="A24" s="11" t="s">
        <v>67</v>
      </c>
      <c r="B24" s="106"/>
      <c r="C24" s="11" t="s">
        <v>56</v>
      </c>
      <c r="D24" s="11"/>
      <c r="E24" s="11"/>
      <c r="F24" s="11"/>
      <c r="G24" s="11"/>
      <c r="H24" s="21">
        <v>34635.5</v>
      </c>
      <c r="I24" s="22">
        <v>30488.3</v>
      </c>
      <c r="J24" s="18"/>
      <c r="K24" s="18"/>
      <c r="L24" s="18"/>
      <c r="M24" s="18"/>
      <c r="N24" s="18"/>
      <c r="O24" s="8">
        <f t="shared" si="1"/>
        <v>65123.8</v>
      </c>
    </row>
    <row r="25" spans="1:15" ht="17.25" hidden="1" customHeight="1">
      <c r="A25" s="11" t="s">
        <v>68</v>
      </c>
      <c r="B25" s="106"/>
      <c r="C25" s="11" t="s">
        <v>64</v>
      </c>
      <c r="D25" s="11"/>
      <c r="E25" s="11"/>
      <c r="F25" s="11"/>
      <c r="G25" s="11"/>
      <c r="H25" s="21">
        <v>1443.2</v>
      </c>
      <c r="I25" s="22">
        <v>1270.4000000000001</v>
      </c>
      <c r="J25" s="18"/>
      <c r="K25" s="18"/>
      <c r="L25" s="18"/>
      <c r="M25" s="18"/>
      <c r="N25" s="18"/>
      <c r="O25" s="8">
        <f t="shared" si="1"/>
        <v>2713.6000000000004</v>
      </c>
    </row>
    <row r="26" spans="1:15" ht="18.75" hidden="1" customHeight="1">
      <c r="A26" s="11" t="s">
        <v>69</v>
      </c>
      <c r="B26" s="106"/>
      <c r="C26" s="11" t="s">
        <v>22</v>
      </c>
      <c r="D26" s="11"/>
      <c r="E26" s="11"/>
      <c r="F26" s="11"/>
      <c r="G26" s="11"/>
      <c r="H26" s="18"/>
      <c r="I26" s="23"/>
      <c r="J26" s="18"/>
      <c r="K26" s="18"/>
      <c r="L26" s="18"/>
      <c r="M26" s="18"/>
      <c r="N26" s="18"/>
      <c r="O26" s="8">
        <f t="shared" si="1"/>
        <v>0</v>
      </c>
    </row>
    <row r="27" spans="1:15" ht="15.75" hidden="1" customHeight="1">
      <c r="A27" s="11" t="s">
        <v>70</v>
      </c>
      <c r="B27" s="106" t="s">
        <v>71</v>
      </c>
      <c r="C27" s="11" t="s">
        <v>54</v>
      </c>
      <c r="D27" s="11"/>
      <c r="E27" s="11"/>
      <c r="F27" s="11"/>
      <c r="G27" s="11"/>
      <c r="H27" s="21">
        <f>SUM(H28:H30)</f>
        <v>215803</v>
      </c>
      <c r="I27" s="22">
        <f>SUM(I28:I30)</f>
        <v>300000</v>
      </c>
      <c r="J27" s="11"/>
      <c r="K27" s="11"/>
      <c r="L27" s="11"/>
      <c r="M27" s="11"/>
      <c r="N27" s="11"/>
      <c r="O27" s="8">
        <f t="shared" si="1"/>
        <v>515803</v>
      </c>
    </row>
    <row r="28" spans="1:15" hidden="1">
      <c r="A28" s="11" t="s">
        <v>72</v>
      </c>
      <c r="B28" s="106"/>
      <c r="C28" s="11" t="s">
        <v>56</v>
      </c>
      <c r="D28" s="11"/>
      <c r="E28" s="11"/>
      <c r="F28" s="11"/>
      <c r="G28" s="11"/>
      <c r="H28" s="18"/>
      <c r="I28" s="23"/>
      <c r="J28" s="18"/>
      <c r="K28" s="18"/>
      <c r="L28" s="18"/>
      <c r="M28" s="18"/>
      <c r="N28" s="18"/>
      <c r="O28" s="8">
        <f t="shared" si="1"/>
        <v>0</v>
      </c>
    </row>
    <row r="29" spans="1:15" hidden="1">
      <c r="A29" s="11" t="s">
        <v>73</v>
      </c>
      <c r="B29" s="106"/>
      <c r="C29" s="11" t="s">
        <v>64</v>
      </c>
      <c r="D29" s="11"/>
      <c r="E29" s="11"/>
      <c r="F29" s="11"/>
      <c r="G29" s="11"/>
      <c r="H29" s="21">
        <v>215803</v>
      </c>
      <c r="I29" s="22">
        <v>300000</v>
      </c>
      <c r="J29" s="18"/>
      <c r="K29" s="18"/>
      <c r="L29" s="18"/>
      <c r="M29" s="18"/>
      <c r="N29" s="18"/>
      <c r="O29" s="8">
        <f t="shared" si="1"/>
        <v>515803</v>
      </c>
    </row>
    <row r="30" spans="1:15" ht="31.5" hidden="1">
      <c r="A30" s="11" t="s">
        <v>74</v>
      </c>
      <c r="B30" s="106"/>
      <c r="C30" s="11" t="s">
        <v>22</v>
      </c>
      <c r="D30" s="11"/>
      <c r="E30" s="11"/>
      <c r="F30" s="11"/>
      <c r="G30" s="11"/>
      <c r="H30" s="18"/>
      <c r="I30" s="23"/>
      <c r="J30" s="18"/>
      <c r="K30" s="18"/>
      <c r="L30" s="18"/>
      <c r="M30" s="18"/>
      <c r="N30" s="18"/>
      <c r="O30" s="8">
        <f t="shared" si="1"/>
        <v>0</v>
      </c>
    </row>
    <row r="31" spans="1:15" ht="15.75" hidden="1" customHeight="1">
      <c r="A31" s="11" t="s">
        <v>75</v>
      </c>
      <c r="B31" s="106" t="s">
        <v>76</v>
      </c>
      <c r="C31" s="11" t="s">
        <v>54</v>
      </c>
      <c r="D31" s="11"/>
      <c r="E31" s="11"/>
      <c r="F31" s="11"/>
      <c r="G31" s="11"/>
      <c r="H31" s="10">
        <f t="shared" ref="H31:N31" si="2">SUM(H32:H34)</f>
        <v>47730.3</v>
      </c>
      <c r="I31" s="20">
        <f t="shared" si="2"/>
        <v>0</v>
      </c>
      <c r="J31" s="20">
        <f t="shared" si="2"/>
        <v>0</v>
      </c>
      <c r="K31" s="20">
        <f t="shared" si="2"/>
        <v>0</v>
      </c>
      <c r="L31" s="20">
        <f t="shared" si="2"/>
        <v>0</v>
      </c>
      <c r="M31" s="20">
        <f t="shared" si="2"/>
        <v>0</v>
      </c>
      <c r="N31" s="20">
        <f t="shared" si="2"/>
        <v>0</v>
      </c>
      <c r="O31" s="8">
        <f t="shared" si="1"/>
        <v>47730.3</v>
      </c>
    </row>
    <row r="32" spans="1:15" hidden="1">
      <c r="A32" s="11" t="s">
        <v>77</v>
      </c>
      <c r="B32" s="106"/>
      <c r="C32" s="11" t="s">
        <v>56</v>
      </c>
      <c r="D32" s="11"/>
      <c r="E32" s="11"/>
      <c r="F32" s="11"/>
      <c r="G32" s="11"/>
      <c r="H32" s="10">
        <v>36275</v>
      </c>
      <c r="I32" s="20"/>
      <c r="J32" s="8"/>
      <c r="K32" s="8"/>
      <c r="L32" s="8"/>
      <c r="M32" s="8"/>
      <c r="N32" s="8"/>
      <c r="O32" s="8">
        <f t="shared" si="1"/>
        <v>36275</v>
      </c>
    </row>
    <row r="33" spans="1:15" hidden="1">
      <c r="A33" s="11" t="s">
        <v>78</v>
      </c>
      <c r="B33" s="106"/>
      <c r="C33" s="11" t="s">
        <v>64</v>
      </c>
      <c r="D33" s="11"/>
      <c r="E33" s="11"/>
      <c r="F33" s="11"/>
      <c r="G33" s="11"/>
      <c r="H33" s="10">
        <v>11455.3</v>
      </c>
      <c r="I33" s="20"/>
      <c r="J33" s="8"/>
      <c r="K33" s="8"/>
      <c r="L33" s="8"/>
      <c r="M33" s="8"/>
      <c r="N33" s="8"/>
      <c r="O33" s="8">
        <f t="shared" si="1"/>
        <v>11455.3</v>
      </c>
    </row>
    <row r="34" spans="1:15" ht="31.5" hidden="1">
      <c r="A34" s="11" t="s">
        <v>79</v>
      </c>
      <c r="B34" s="106"/>
      <c r="C34" s="11" t="s">
        <v>22</v>
      </c>
      <c r="D34" s="11"/>
      <c r="E34" s="11"/>
      <c r="F34" s="11"/>
      <c r="G34" s="11"/>
      <c r="H34" s="18"/>
      <c r="I34" s="23"/>
      <c r="J34" s="18"/>
      <c r="K34" s="18"/>
      <c r="L34" s="18"/>
      <c r="M34" s="18"/>
      <c r="N34" s="18"/>
      <c r="O34" s="8">
        <f t="shared" si="1"/>
        <v>0</v>
      </c>
    </row>
    <row r="35" spans="1:15" ht="21.75" hidden="1" customHeight="1">
      <c r="B35" s="106" t="s">
        <v>80</v>
      </c>
      <c r="C35" s="11" t="s">
        <v>54</v>
      </c>
      <c r="D35" s="11"/>
      <c r="E35" s="11"/>
      <c r="F35" s="11"/>
      <c r="G35" s="11"/>
      <c r="H35" s="24">
        <f t="shared" ref="H35:N35" si="3">SUM(H36:H38)</f>
        <v>0</v>
      </c>
      <c r="I35" s="24">
        <f t="shared" si="3"/>
        <v>0</v>
      </c>
      <c r="J35" s="24">
        <f t="shared" si="3"/>
        <v>0</v>
      </c>
      <c r="K35" s="24">
        <f t="shared" si="3"/>
        <v>0</v>
      </c>
      <c r="L35" s="24">
        <f t="shared" si="3"/>
        <v>0</v>
      </c>
      <c r="M35" s="24">
        <f t="shared" si="3"/>
        <v>0</v>
      </c>
      <c r="N35" s="24">
        <f t="shared" si="3"/>
        <v>0</v>
      </c>
      <c r="O35" s="8">
        <f t="shared" si="1"/>
        <v>0</v>
      </c>
    </row>
    <row r="36" spans="1:15" ht="21.75" hidden="1" customHeight="1">
      <c r="B36" s="106"/>
      <c r="C36" s="11" t="s">
        <v>56</v>
      </c>
      <c r="D36" s="11"/>
      <c r="E36" s="11"/>
      <c r="F36" s="11"/>
      <c r="G36" s="11"/>
      <c r="H36" s="18"/>
      <c r="I36" s="23"/>
      <c r="J36" s="23"/>
      <c r="K36" s="23"/>
      <c r="L36" s="23"/>
      <c r="M36" s="23"/>
      <c r="N36" s="23"/>
      <c r="O36" s="8">
        <f t="shared" si="1"/>
        <v>0</v>
      </c>
    </row>
    <row r="37" spans="1:15" ht="17.25" hidden="1" customHeight="1">
      <c r="B37" s="106"/>
      <c r="C37" s="11" t="s">
        <v>64</v>
      </c>
      <c r="D37" s="11"/>
      <c r="E37" s="11"/>
      <c r="F37" s="11"/>
      <c r="G37" s="11"/>
      <c r="H37" s="18"/>
      <c r="I37" s="23"/>
      <c r="J37" s="23"/>
      <c r="K37" s="23"/>
      <c r="L37" s="23"/>
      <c r="M37" s="23"/>
      <c r="N37" s="23"/>
      <c r="O37" s="8">
        <f t="shared" si="1"/>
        <v>0</v>
      </c>
    </row>
    <row r="38" spans="1:15" ht="21" hidden="1" customHeight="1">
      <c r="B38" s="106"/>
      <c r="C38" s="11" t="s">
        <v>22</v>
      </c>
      <c r="D38" s="11"/>
      <c r="E38" s="11"/>
      <c r="F38" s="11"/>
      <c r="G38" s="11"/>
      <c r="H38" s="18"/>
      <c r="I38" s="23"/>
      <c r="J38" s="23"/>
      <c r="K38" s="23"/>
      <c r="L38" s="23"/>
      <c r="M38" s="23"/>
      <c r="N38" s="23"/>
      <c r="O38" s="8">
        <f t="shared" si="1"/>
        <v>0</v>
      </c>
    </row>
    <row r="39" spans="1:15" ht="15.75" hidden="1" customHeight="1">
      <c r="A39" s="11" t="s">
        <v>81</v>
      </c>
      <c r="B39" s="106" t="s">
        <v>82</v>
      </c>
      <c r="C39" s="11" t="s">
        <v>54</v>
      </c>
      <c r="D39" s="11"/>
      <c r="E39" s="11"/>
      <c r="F39" s="11"/>
      <c r="G39" s="11"/>
      <c r="H39" s="10">
        <f t="shared" ref="H39:N39" si="4">SUM(H40:H42)</f>
        <v>271576.09999999998</v>
      </c>
      <c r="I39" s="20">
        <f t="shared" si="4"/>
        <v>974248</v>
      </c>
      <c r="J39" s="20">
        <f t="shared" si="4"/>
        <v>2271457</v>
      </c>
      <c r="K39" s="20">
        <f t="shared" si="4"/>
        <v>3349870</v>
      </c>
      <c r="L39" s="20">
        <f t="shared" si="4"/>
        <v>4662007</v>
      </c>
      <c r="M39" s="20">
        <f t="shared" si="4"/>
        <v>4148050</v>
      </c>
      <c r="N39" s="20">
        <f t="shared" si="4"/>
        <v>4794557</v>
      </c>
      <c r="O39" s="8">
        <f t="shared" si="1"/>
        <v>20471765.100000001</v>
      </c>
    </row>
    <row r="40" spans="1:15" hidden="1">
      <c r="A40" s="11" t="s">
        <v>83</v>
      </c>
      <c r="B40" s="106"/>
      <c r="C40" s="11" t="s">
        <v>56</v>
      </c>
      <c r="D40" s="11"/>
      <c r="E40" s="11"/>
      <c r="F40" s="11"/>
      <c r="G40" s="11"/>
      <c r="H40" s="10">
        <v>23743.7</v>
      </c>
      <c r="I40" s="20">
        <v>0</v>
      </c>
      <c r="J40" s="8">
        <v>0</v>
      </c>
      <c r="K40" s="8">
        <v>1067524</v>
      </c>
      <c r="L40" s="8">
        <v>2287340</v>
      </c>
      <c r="M40" s="8">
        <v>1480000</v>
      </c>
      <c r="N40" s="8">
        <v>1778445.7</v>
      </c>
      <c r="O40" s="8">
        <f t="shared" si="1"/>
        <v>6637053.4000000004</v>
      </c>
    </row>
    <row r="41" spans="1:15" hidden="1">
      <c r="A41" s="11" t="s">
        <v>84</v>
      </c>
      <c r="B41" s="106"/>
      <c r="C41" s="11" t="s">
        <v>64</v>
      </c>
      <c r="D41" s="11"/>
      <c r="E41" s="11"/>
      <c r="F41" s="11"/>
      <c r="G41" s="11"/>
      <c r="H41" s="10">
        <v>247832.4</v>
      </c>
      <c r="I41" s="20">
        <v>974248</v>
      </c>
      <c r="J41" s="8">
        <v>2271457</v>
      </c>
      <c r="K41" s="8">
        <v>2282346</v>
      </c>
      <c r="L41" s="8">
        <v>2374667</v>
      </c>
      <c r="M41" s="8">
        <v>2668050</v>
      </c>
      <c r="N41" s="8">
        <v>3016111.3</v>
      </c>
      <c r="O41" s="8">
        <f t="shared" si="1"/>
        <v>13834711.699999999</v>
      </c>
    </row>
    <row r="42" spans="1:15" ht="31.5" hidden="1">
      <c r="A42" s="11" t="s">
        <v>85</v>
      </c>
      <c r="B42" s="106"/>
      <c r="C42" s="11" t="s">
        <v>22</v>
      </c>
      <c r="D42" s="11"/>
      <c r="E42" s="11"/>
      <c r="F42" s="11"/>
      <c r="G42" s="11"/>
      <c r="H42" s="18"/>
      <c r="I42" s="20"/>
      <c r="J42" s="8"/>
      <c r="K42" s="8"/>
      <c r="L42" s="8"/>
      <c r="M42" s="8"/>
      <c r="N42" s="8"/>
      <c r="O42" s="8"/>
    </row>
    <row r="43" spans="1:15" ht="15.75" hidden="1" customHeight="1">
      <c r="A43" s="11" t="s">
        <v>86</v>
      </c>
      <c r="B43" s="106" t="s">
        <v>87</v>
      </c>
      <c r="C43" s="11" t="s">
        <v>54</v>
      </c>
      <c r="D43" s="11"/>
      <c r="E43" s="11"/>
      <c r="F43" s="11"/>
      <c r="G43" s="11"/>
      <c r="H43" s="8">
        <f t="shared" ref="H43:N43" si="5">SUM(H44:H46)</f>
        <v>6693344.0999999996</v>
      </c>
      <c r="I43" s="8">
        <f t="shared" si="5"/>
        <v>9258678.0999999996</v>
      </c>
      <c r="J43" s="8">
        <f t="shared" si="5"/>
        <v>11218519</v>
      </c>
      <c r="K43" s="8">
        <f t="shared" si="5"/>
        <v>11511567</v>
      </c>
      <c r="L43" s="8">
        <f t="shared" si="5"/>
        <v>11711567</v>
      </c>
      <c r="M43" s="8">
        <f t="shared" si="5"/>
        <v>11911567</v>
      </c>
      <c r="N43" s="8">
        <f t="shared" si="5"/>
        <v>12111567</v>
      </c>
      <c r="O43" s="8">
        <f t="shared" ref="O43:O54" si="6">SUM(H43:N43)</f>
        <v>74416809.200000003</v>
      </c>
    </row>
    <row r="44" spans="1:15" hidden="1">
      <c r="A44" s="11" t="s">
        <v>88</v>
      </c>
      <c r="B44" s="106"/>
      <c r="C44" s="11" t="s">
        <v>56</v>
      </c>
      <c r="D44" s="11"/>
      <c r="E44" s="11"/>
      <c r="F44" s="11"/>
      <c r="G44" s="11"/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8">
        <f t="shared" si="6"/>
        <v>0</v>
      </c>
    </row>
    <row r="45" spans="1:15" hidden="1">
      <c r="A45" s="11" t="s">
        <v>89</v>
      </c>
      <c r="B45" s="106"/>
      <c r="C45" s="11" t="s">
        <v>64</v>
      </c>
      <c r="D45" s="11"/>
      <c r="E45" s="11"/>
      <c r="F45" s="11"/>
      <c r="G45" s="11"/>
      <c r="H45" s="10">
        <v>6607802.0999999996</v>
      </c>
      <c r="I45" s="10">
        <v>9258678.0999999996</v>
      </c>
      <c r="J45" s="10">
        <v>11218519</v>
      </c>
      <c r="K45" s="10">
        <v>11511567</v>
      </c>
      <c r="L45" s="10">
        <v>11711567</v>
      </c>
      <c r="M45" s="10">
        <v>11911567</v>
      </c>
      <c r="N45" s="20">
        <v>12111567</v>
      </c>
      <c r="O45" s="10">
        <f t="shared" si="6"/>
        <v>74331267.200000003</v>
      </c>
    </row>
    <row r="46" spans="1:15" ht="31.5" hidden="1">
      <c r="A46" s="11" t="s">
        <v>90</v>
      </c>
      <c r="B46" s="106"/>
      <c r="C46" s="11" t="s">
        <v>22</v>
      </c>
      <c r="D46" s="11"/>
      <c r="E46" s="11"/>
      <c r="F46" s="11"/>
      <c r="G46" s="11"/>
      <c r="H46" s="10">
        <v>85542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20">
        <v>0</v>
      </c>
      <c r="O46" s="10">
        <f t="shared" si="6"/>
        <v>85542</v>
      </c>
    </row>
    <row r="47" spans="1:15" ht="16.5" hidden="1" customHeight="1">
      <c r="A47" s="11" t="s">
        <v>91</v>
      </c>
      <c r="B47" s="106" t="s">
        <v>92</v>
      </c>
      <c r="C47" s="11" t="s">
        <v>54</v>
      </c>
      <c r="D47" s="11"/>
      <c r="E47" s="11"/>
      <c r="F47" s="11"/>
      <c r="G47" s="11"/>
      <c r="H47" s="8">
        <f t="shared" ref="H47:N47" si="7">SUM(H48:H50)</f>
        <v>1287753</v>
      </c>
      <c r="I47" s="8">
        <f t="shared" si="7"/>
        <v>1287887.7</v>
      </c>
      <c r="J47" s="8">
        <f t="shared" si="7"/>
        <v>1287887.7</v>
      </c>
      <c r="K47" s="8">
        <f t="shared" si="7"/>
        <v>1287887.7</v>
      </c>
      <c r="L47" s="8">
        <f t="shared" si="7"/>
        <v>1287887.7</v>
      </c>
      <c r="M47" s="8">
        <f t="shared" si="7"/>
        <v>1287887.7</v>
      </c>
      <c r="N47" s="8">
        <f t="shared" si="7"/>
        <v>1287887.7</v>
      </c>
      <c r="O47" s="8">
        <f t="shared" si="6"/>
        <v>9015079.2000000011</v>
      </c>
    </row>
    <row r="48" spans="1:15" hidden="1">
      <c r="A48" s="11" t="s">
        <v>93</v>
      </c>
      <c r="B48" s="106"/>
      <c r="C48" s="11" t="s">
        <v>56</v>
      </c>
      <c r="D48" s="11"/>
      <c r="E48" s="11"/>
      <c r="F48" s="11"/>
      <c r="G48" s="11"/>
      <c r="H48" s="18"/>
      <c r="I48" s="18"/>
      <c r="J48" s="18"/>
      <c r="K48" s="18"/>
      <c r="L48" s="18"/>
      <c r="M48" s="18"/>
      <c r="N48" s="18"/>
      <c r="O48" s="8">
        <f t="shared" si="6"/>
        <v>0</v>
      </c>
    </row>
    <row r="49" spans="1:24" ht="18" hidden="1" customHeight="1">
      <c r="A49" s="11" t="s">
        <v>94</v>
      </c>
      <c r="B49" s="106"/>
      <c r="C49" s="11" t="s">
        <v>64</v>
      </c>
      <c r="D49" s="11"/>
      <c r="E49" s="11"/>
      <c r="F49" s="11"/>
      <c r="G49" s="11"/>
      <c r="H49" s="10">
        <v>1285856</v>
      </c>
      <c r="I49" s="10">
        <v>1285990.7</v>
      </c>
      <c r="J49" s="10">
        <v>1285990.7</v>
      </c>
      <c r="K49" s="10">
        <v>1285990.7</v>
      </c>
      <c r="L49" s="10">
        <v>1285990.7</v>
      </c>
      <c r="M49" s="10">
        <v>1285990.7</v>
      </c>
      <c r="N49" s="10">
        <v>1285990.7</v>
      </c>
      <c r="O49" s="8">
        <f t="shared" si="6"/>
        <v>9001800.2000000011</v>
      </c>
    </row>
    <row r="50" spans="1:24" ht="31.5" hidden="1">
      <c r="A50" s="11" t="s">
        <v>95</v>
      </c>
      <c r="B50" s="106"/>
      <c r="C50" s="11" t="s">
        <v>22</v>
      </c>
      <c r="D50" s="11"/>
      <c r="E50" s="11"/>
      <c r="F50" s="11"/>
      <c r="G50" s="11"/>
      <c r="H50" s="10">
        <v>1897</v>
      </c>
      <c r="I50" s="10">
        <v>1897</v>
      </c>
      <c r="J50" s="18">
        <v>1897</v>
      </c>
      <c r="K50" s="18">
        <v>1897</v>
      </c>
      <c r="L50" s="18">
        <v>1897</v>
      </c>
      <c r="M50" s="18">
        <v>1897</v>
      </c>
      <c r="N50" s="18">
        <v>1897</v>
      </c>
      <c r="O50" s="8">
        <f t="shared" si="6"/>
        <v>13279</v>
      </c>
    </row>
    <row r="51" spans="1:24" ht="20.25" hidden="1" customHeight="1">
      <c r="A51" s="11" t="s">
        <v>96</v>
      </c>
      <c r="B51" s="106" t="s">
        <v>97</v>
      </c>
      <c r="C51" s="11" t="s">
        <v>54</v>
      </c>
      <c r="D51" s="11"/>
      <c r="E51" s="11"/>
      <c r="F51" s="11"/>
      <c r="G51" s="11"/>
      <c r="H51" s="10">
        <f t="shared" ref="H51:N51" si="8">SUM(H52:H54)</f>
        <v>217102.3</v>
      </c>
      <c r="I51" s="10">
        <f t="shared" si="8"/>
        <v>224474.1</v>
      </c>
      <c r="J51" s="10">
        <f t="shared" si="8"/>
        <v>233453.1</v>
      </c>
      <c r="K51" s="10">
        <f t="shared" si="8"/>
        <v>242791.2</v>
      </c>
      <c r="L51" s="10">
        <f t="shared" si="8"/>
        <v>252502.8</v>
      </c>
      <c r="M51" s="10">
        <f t="shared" si="8"/>
        <v>262602.90000000002</v>
      </c>
      <c r="N51" s="10">
        <f t="shared" si="8"/>
        <v>273107.09999999998</v>
      </c>
      <c r="O51" s="8">
        <f t="shared" si="6"/>
        <v>1706033.5</v>
      </c>
    </row>
    <row r="52" spans="1:24" ht="22.5" hidden="1" customHeight="1">
      <c r="A52" s="11" t="s">
        <v>98</v>
      </c>
      <c r="B52" s="106"/>
      <c r="C52" s="11" t="s">
        <v>56</v>
      </c>
      <c r="D52" s="11"/>
      <c r="E52" s="11"/>
      <c r="F52" s="11"/>
      <c r="G52" s="11"/>
      <c r="H52" s="18"/>
      <c r="I52" s="18"/>
      <c r="J52" s="18"/>
      <c r="K52" s="18"/>
      <c r="L52" s="18"/>
      <c r="M52" s="18"/>
      <c r="N52" s="18"/>
      <c r="O52" s="8">
        <f t="shared" si="6"/>
        <v>0</v>
      </c>
    </row>
    <row r="53" spans="1:24" ht="19.5" hidden="1" customHeight="1">
      <c r="A53" s="11" t="s">
        <v>99</v>
      </c>
      <c r="B53" s="106"/>
      <c r="C53" s="11" t="s">
        <v>64</v>
      </c>
      <c r="D53" s="11"/>
      <c r="E53" s="11"/>
      <c r="F53" s="11"/>
      <c r="G53" s="11"/>
      <c r="H53" s="10">
        <v>217102.3</v>
      </c>
      <c r="I53" s="10">
        <v>224474.1</v>
      </c>
      <c r="J53" s="10">
        <v>233453.1</v>
      </c>
      <c r="K53" s="10">
        <v>242791.2</v>
      </c>
      <c r="L53" s="10">
        <v>252502.8</v>
      </c>
      <c r="M53" s="10">
        <v>262602.90000000002</v>
      </c>
      <c r="N53" s="10">
        <v>273107.09999999998</v>
      </c>
      <c r="O53" s="8">
        <f t="shared" si="6"/>
        <v>1706033.5</v>
      </c>
    </row>
    <row r="54" spans="1:24" ht="19.5" hidden="1" customHeight="1">
      <c r="A54" s="11" t="s">
        <v>100</v>
      </c>
      <c r="B54" s="106"/>
      <c r="C54" s="11" t="s">
        <v>22</v>
      </c>
      <c r="D54" s="11"/>
      <c r="E54" s="11"/>
      <c r="F54" s="11"/>
      <c r="G54" s="11"/>
      <c r="H54" s="18"/>
      <c r="I54" s="18"/>
      <c r="J54" s="18"/>
      <c r="K54" s="18"/>
      <c r="L54" s="18"/>
      <c r="M54" s="18"/>
      <c r="N54" s="18"/>
      <c r="O54" s="8">
        <f t="shared" si="6"/>
        <v>0</v>
      </c>
    </row>
    <row r="55" spans="1:24" ht="20.25" hidden="1" customHeight="1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24" ht="17.25" customHeight="1">
      <c r="H56" s="26">
        <f>H62-'[2]5. Финансовое обеспечение ГП'!$H$56</f>
        <v>90524.064000001177</v>
      </c>
      <c r="I56" s="26">
        <f>I62-'[2]5. Финансовое обеспечение ГП'!$I$56</f>
        <v>1654731.1998600028</v>
      </c>
      <c r="J56" s="26">
        <f>J62-'[2]5. Финансовое обеспечение ГП'!$J$56</f>
        <v>1962635.5</v>
      </c>
      <c r="K56" s="26">
        <f>K62-'[2]5. Финансовое обеспечение ГП'!$K$56</f>
        <v>3064419.407999998</v>
      </c>
      <c r="L56" s="26">
        <f>L62-'[2]5. Финансовое обеспечение ГП'!$L$56</f>
        <v>223077.37232000008</v>
      </c>
      <c r="M56" s="26">
        <f>M62-'[2]5. Финансовое обеспечение ГП'!$M$56</f>
        <v>271564.66721279919</v>
      </c>
      <c r="N56" s="26">
        <f>N62-'[2]5. Финансовое обеспечение ГП'!$N$56</f>
        <v>245895.3179012984</v>
      </c>
      <c r="O56" s="26">
        <f>O62-'[2]5. Финансовое обеспечение ГП'!$O$56</f>
        <v>7512847.4292939901</v>
      </c>
    </row>
    <row r="57" spans="1:24" ht="24" customHeight="1">
      <c r="A57" s="113" t="s">
        <v>101</v>
      </c>
      <c r="B57" s="113" t="s">
        <v>42</v>
      </c>
      <c r="C57" s="113" t="s">
        <v>102</v>
      </c>
      <c r="D57" s="113" t="s">
        <v>103</v>
      </c>
      <c r="E57" s="113"/>
      <c r="F57" s="113"/>
      <c r="G57" s="113"/>
      <c r="H57" s="113" t="s">
        <v>104</v>
      </c>
      <c r="I57" s="113"/>
      <c r="J57" s="113"/>
      <c r="K57" s="113"/>
      <c r="L57" s="113"/>
      <c r="M57" s="113"/>
      <c r="N57" s="113"/>
      <c r="O57" s="113"/>
    </row>
    <row r="58" spans="1:24" ht="25.5" customHeight="1">
      <c r="A58" s="113"/>
      <c r="B58" s="113"/>
      <c r="C58" s="113"/>
      <c r="D58" s="113" t="s">
        <v>105</v>
      </c>
      <c r="E58" s="113"/>
      <c r="F58" s="113"/>
      <c r="G58" s="113"/>
      <c r="H58" s="39" t="s">
        <v>44</v>
      </c>
      <c r="I58" s="39" t="s">
        <v>45</v>
      </c>
      <c r="J58" s="39" t="s">
        <v>46</v>
      </c>
      <c r="K58" s="39" t="s">
        <v>47</v>
      </c>
      <c r="L58" s="39" t="s">
        <v>48</v>
      </c>
      <c r="M58" s="39" t="s">
        <v>49</v>
      </c>
      <c r="N58" s="39" t="s">
        <v>50</v>
      </c>
      <c r="O58" s="39" t="s">
        <v>51</v>
      </c>
    </row>
    <row r="59" spans="1:24" ht="19.5" customHeight="1">
      <c r="A59" s="39">
        <v>1</v>
      </c>
      <c r="B59" s="39"/>
      <c r="C59" s="39">
        <v>2</v>
      </c>
      <c r="D59" s="39">
        <v>3</v>
      </c>
      <c r="E59" s="39">
        <v>4</v>
      </c>
      <c r="F59" s="39">
        <v>5</v>
      </c>
      <c r="G59" s="39">
        <v>6</v>
      </c>
      <c r="H59" s="39">
        <v>7</v>
      </c>
      <c r="I59" s="39">
        <v>8</v>
      </c>
      <c r="J59" s="39">
        <v>9</v>
      </c>
      <c r="K59" s="39">
        <v>10</v>
      </c>
      <c r="L59" s="39">
        <v>11</v>
      </c>
      <c r="M59" s="39">
        <v>12</v>
      </c>
      <c r="N59" s="39">
        <v>13</v>
      </c>
      <c r="O59" s="39">
        <v>14</v>
      </c>
    </row>
    <row r="60" spans="1:24" ht="24" customHeight="1">
      <c r="A60" s="109"/>
      <c r="B60" s="38"/>
      <c r="C60" s="120" t="s">
        <v>53</v>
      </c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</row>
    <row r="61" spans="1:24" ht="27" customHeight="1">
      <c r="A61" s="110"/>
      <c r="B61" s="38"/>
      <c r="C61" s="37" t="s">
        <v>54</v>
      </c>
      <c r="D61" s="37"/>
      <c r="E61" s="37"/>
      <c r="F61" s="37"/>
      <c r="G61" s="37"/>
      <c r="H61" s="27">
        <f t="shared" ref="H61:N61" si="9">H62+H68+H70</f>
        <v>13380152.464</v>
      </c>
      <c r="I61" s="27">
        <f t="shared" si="9"/>
        <v>17374235.799860001</v>
      </c>
      <c r="J61" s="27">
        <f t="shared" si="9"/>
        <v>18198131.199999999</v>
      </c>
      <c r="K61" s="27">
        <f t="shared" si="9"/>
        <v>19200921.099999998</v>
      </c>
      <c r="L61" s="27">
        <f t="shared" si="9"/>
        <v>17074559.639999997</v>
      </c>
      <c r="M61" s="27">
        <f t="shared" si="9"/>
        <v>18128440.005599998</v>
      </c>
      <c r="N61" s="27">
        <f t="shared" si="9"/>
        <v>18449761.029823996</v>
      </c>
      <c r="O61" s="27">
        <f>SUM(H61:N61)</f>
        <v>121806201.23928398</v>
      </c>
      <c r="Q61" s="12">
        <v>2024</v>
      </c>
      <c r="R61" s="12">
        <v>2025</v>
      </c>
      <c r="S61" s="12">
        <v>2026</v>
      </c>
      <c r="T61" s="12">
        <v>2027</v>
      </c>
      <c r="U61" s="12">
        <v>2028</v>
      </c>
      <c r="V61" s="12">
        <v>2029</v>
      </c>
      <c r="W61" s="12">
        <v>2030</v>
      </c>
      <c r="X61" s="28" t="s">
        <v>106</v>
      </c>
    </row>
    <row r="62" spans="1:24" ht="21.75" customHeight="1">
      <c r="A62" s="110"/>
      <c r="B62" s="121" t="s">
        <v>107</v>
      </c>
      <c r="C62" s="41" t="s">
        <v>15</v>
      </c>
      <c r="D62" s="42">
        <v>828</v>
      </c>
      <c r="E62" s="42"/>
      <c r="F62" s="43"/>
      <c r="G62" s="42"/>
      <c r="H62" s="44">
        <f>H73+H99+H110+H120+H130+H139+H158+H186+H210</f>
        <v>13217959.9</v>
      </c>
      <c r="I62" s="44">
        <f>I81+I100+I111+I120+I130+I139+I158+I186+I210</f>
        <v>17187338.399860002</v>
      </c>
      <c r="J62" s="44">
        <f>J81+J100+J110+J120+J130+J139+J158+J186+J210</f>
        <v>17974080.199999999</v>
      </c>
      <c r="K62" s="44">
        <f>K81+K100+K110+K120+K130+K139+K158+K186+K210</f>
        <v>19193272.399999999</v>
      </c>
      <c r="L62" s="44">
        <f>L81+L100+L110+L120+L130+L139+L158+L186+L210</f>
        <v>17073085.739999998</v>
      </c>
      <c r="M62" s="44">
        <f>M81+M100+M110+M120+M130+M139+M158+M186+M210</f>
        <v>18126966.105599999</v>
      </c>
      <c r="N62" s="44">
        <f>N81+N100+N110+N120+N130+N139+N158+N186+N210</f>
        <v>18448287.129823998</v>
      </c>
      <c r="O62" s="44">
        <f>SUM(H62:N62)-0.1</f>
        <v>121220989.77528399</v>
      </c>
      <c r="Q62" s="29">
        <f>O62+O68+O70</f>
        <v>121806201.13928398</v>
      </c>
    </row>
    <row r="63" spans="1:24" ht="31.5">
      <c r="A63" s="110"/>
      <c r="B63" s="121"/>
      <c r="C63" s="41" t="s">
        <v>17</v>
      </c>
      <c r="D63" s="45"/>
      <c r="E63" s="45"/>
      <c r="F63" s="45"/>
      <c r="G63" s="45"/>
      <c r="H63" s="44">
        <f>H90+H101+H112+H121+H131+H149+H177+H201+H215</f>
        <v>69046</v>
      </c>
      <c r="I63" s="44">
        <f>I90+I101+I112+I121+I131+I149+I177+I201+I215</f>
        <v>3886664.7</v>
      </c>
      <c r="J63" s="44">
        <f>J90+J101+J112+J121+J131+J149+J177+J201+J215</f>
        <v>4362137.4999999991</v>
      </c>
      <c r="K63" s="44">
        <f>K90+K101+K112+K121+K131+K149+K177+K201+K215</f>
        <v>5678297.8999999994</v>
      </c>
      <c r="L63" s="44"/>
      <c r="M63" s="44"/>
      <c r="N63" s="44"/>
      <c r="O63" s="44">
        <f>SUM(H63:N63)</f>
        <v>13996146.099999998</v>
      </c>
      <c r="R63" s="29">
        <f>O62-O63</f>
        <v>107224843.675284</v>
      </c>
      <c r="S63" s="29">
        <f>O61-O186-O210</f>
        <v>107292013.76385999</v>
      </c>
      <c r="T63" s="29"/>
    </row>
    <row r="64" spans="1:24" ht="31.5">
      <c r="A64" s="110"/>
      <c r="B64" s="121"/>
      <c r="C64" s="41" t="s">
        <v>18</v>
      </c>
      <c r="D64" s="45"/>
      <c r="E64" s="45"/>
      <c r="F64" s="45"/>
      <c r="G64" s="45"/>
      <c r="H64" s="44"/>
      <c r="I64" s="44"/>
      <c r="J64" s="44"/>
      <c r="K64" s="44"/>
      <c r="L64" s="44"/>
      <c r="M64" s="44"/>
      <c r="N64" s="44"/>
      <c r="O64" s="44"/>
      <c r="Q64" s="29"/>
      <c r="S64" s="33">
        <f>S63-H61+H186+H210</f>
        <v>95861836.199859992</v>
      </c>
    </row>
    <row r="65" spans="1:24" ht="23.25" customHeight="1">
      <c r="A65" s="110"/>
      <c r="B65" s="121"/>
      <c r="C65" s="46" t="s">
        <v>109</v>
      </c>
      <c r="D65" s="45"/>
      <c r="E65" s="45"/>
      <c r="F65" s="45"/>
      <c r="G65" s="45"/>
      <c r="H65" s="44">
        <f t="shared" ref="H65:O65" si="10">H92+H103+H114+H123+H151+H179+H203+H217</f>
        <v>4201883.5</v>
      </c>
      <c r="I65" s="44">
        <f t="shared" si="10"/>
        <v>3352586.8</v>
      </c>
      <c r="J65" s="44">
        <f t="shared" si="10"/>
        <v>3363009.8</v>
      </c>
      <c r="K65" s="44">
        <f t="shared" si="10"/>
        <v>138017.70000000001</v>
      </c>
      <c r="L65" s="44">
        <f t="shared" si="10"/>
        <v>41278.9</v>
      </c>
      <c r="M65" s="44">
        <f t="shared" si="10"/>
        <v>41278.9</v>
      </c>
      <c r="N65" s="44">
        <f t="shared" si="10"/>
        <v>41278.9</v>
      </c>
      <c r="O65" s="44">
        <f t="shared" si="10"/>
        <v>11179334.5</v>
      </c>
      <c r="Q65" s="29"/>
    </row>
    <row r="66" spans="1:24" ht="63">
      <c r="A66" s="110"/>
      <c r="B66" s="121"/>
      <c r="C66" s="41" t="s">
        <v>20</v>
      </c>
      <c r="D66" s="45"/>
      <c r="E66" s="45"/>
      <c r="F66" s="45"/>
      <c r="G66" s="45"/>
      <c r="H66" s="44"/>
      <c r="I66" s="44"/>
      <c r="J66" s="44"/>
      <c r="K66" s="44"/>
      <c r="L66" s="44"/>
      <c r="M66" s="44"/>
      <c r="N66" s="44"/>
      <c r="O66" s="44"/>
    </row>
    <row r="67" spans="1:24" ht="48" customHeight="1">
      <c r="A67" s="110"/>
      <c r="B67" s="121"/>
      <c r="C67" s="41" t="s">
        <v>21</v>
      </c>
      <c r="D67" s="45"/>
      <c r="E67" s="45"/>
      <c r="F67" s="45"/>
      <c r="G67" s="45"/>
      <c r="H67" s="44"/>
      <c r="I67" s="44"/>
      <c r="J67" s="44"/>
      <c r="K67" s="44"/>
      <c r="L67" s="44"/>
      <c r="M67" s="44"/>
      <c r="N67" s="44"/>
      <c r="O67" s="44"/>
    </row>
    <row r="68" spans="1:24" ht="22.5" hidden="1" customHeight="1">
      <c r="A68" s="110"/>
      <c r="B68" s="121"/>
      <c r="C68" s="41" t="s">
        <v>196</v>
      </c>
      <c r="D68" s="45"/>
      <c r="E68" s="45"/>
      <c r="F68" s="45"/>
      <c r="G68" s="45"/>
      <c r="H68" s="44">
        <f t="shared" ref="H68:N68" si="11">H95+H106+H126+H154+H182+H206</f>
        <v>157725.96400000001</v>
      </c>
      <c r="I68" s="44">
        <f t="shared" si="11"/>
        <v>186897.40000000011</v>
      </c>
      <c r="J68" s="44">
        <f t="shared" si="11"/>
        <v>213325.50000000003</v>
      </c>
      <c r="K68" s="44">
        <f t="shared" si="11"/>
        <v>7648.7000000000007</v>
      </c>
      <c r="L68" s="44">
        <f t="shared" si="11"/>
        <v>1473.9</v>
      </c>
      <c r="M68" s="44">
        <f t="shared" si="11"/>
        <v>1473.9</v>
      </c>
      <c r="N68" s="44">
        <f t="shared" si="11"/>
        <v>1473.9</v>
      </c>
      <c r="O68" s="44">
        <f>SUM(H68:N68)</f>
        <v>570019.2640000002</v>
      </c>
    </row>
    <row r="69" spans="1:24" ht="22.5" customHeight="1">
      <c r="A69" s="110"/>
      <c r="B69" s="121"/>
      <c r="C69" s="41" t="s">
        <v>22</v>
      </c>
      <c r="D69" s="45"/>
      <c r="E69" s="45"/>
      <c r="F69" s="45"/>
      <c r="G69" s="45"/>
      <c r="H69" s="44">
        <f>H65+H68</f>
        <v>4359609.4639999997</v>
      </c>
      <c r="I69" s="44">
        <f t="shared" ref="I69:O69" si="12">I65+I68</f>
        <v>3539484.1999999997</v>
      </c>
      <c r="J69" s="44">
        <f t="shared" si="12"/>
        <v>3576335.3</v>
      </c>
      <c r="K69" s="44">
        <f t="shared" si="12"/>
        <v>145666.40000000002</v>
      </c>
      <c r="L69" s="44">
        <f t="shared" si="12"/>
        <v>42752.800000000003</v>
      </c>
      <c r="M69" s="44">
        <f t="shared" si="12"/>
        <v>42752.800000000003</v>
      </c>
      <c r="N69" s="44">
        <f t="shared" si="12"/>
        <v>42752.800000000003</v>
      </c>
      <c r="O69" s="44">
        <f t="shared" si="12"/>
        <v>11749353.764</v>
      </c>
    </row>
    <row r="70" spans="1:24" ht="18.75" customHeight="1">
      <c r="A70" s="110"/>
      <c r="B70" s="121"/>
      <c r="C70" s="41" t="s">
        <v>23</v>
      </c>
      <c r="D70" s="45"/>
      <c r="E70" s="45"/>
      <c r="F70" s="45"/>
      <c r="G70" s="45"/>
      <c r="H70" s="44">
        <f>H128</f>
        <v>4466.6000000000004</v>
      </c>
      <c r="I70" s="44"/>
      <c r="J70" s="44">
        <f>J128</f>
        <v>10725.5</v>
      </c>
      <c r="K70" s="44"/>
      <c r="L70" s="44"/>
      <c r="M70" s="44"/>
      <c r="N70" s="44"/>
      <c r="O70" s="44">
        <f>SUM(H70:N70)</f>
        <v>15192.1</v>
      </c>
    </row>
    <row r="71" spans="1:24" ht="19.5" customHeight="1">
      <c r="A71" s="111"/>
      <c r="B71" s="121"/>
      <c r="C71" s="41" t="s">
        <v>24</v>
      </c>
      <c r="D71" s="45"/>
      <c r="E71" s="45"/>
      <c r="F71" s="45"/>
      <c r="G71" s="45"/>
      <c r="H71" s="44"/>
      <c r="I71" s="44"/>
      <c r="J71" s="44"/>
      <c r="K71" s="44"/>
      <c r="L71" s="44"/>
      <c r="M71" s="44"/>
      <c r="N71" s="44"/>
      <c r="O71" s="44"/>
    </row>
    <row r="72" spans="1:24" ht="23.25" customHeight="1">
      <c r="A72" s="126" t="s">
        <v>52</v>
      </c>
      <c r="B72" s="41"/>
      <c r="C72" s="132" t="s">
        <v>110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X72" s="28"/>
    </row>
    <row r="73" spans="1:24" ht="18.75" customHeight="1">
      <c r="A73" s="127"/>
      <c r="B73" s="124" t="s">
        <v>63</v>
      </c>
      <c r="C73" s="122" t="s">
        <v>15</v>
      </c>
      <c r="D73" s="40">
        <v>828</v>
      </c>
      <c r="E73" s="40" t="s">
        <v>108</v>
      </c>
      <c r="F73" s="40" t="s">
        <v>111</v>
      </c>
      <c r="G73" s="40"/>
      <c r="H73" s="44">
        <f>SUM(H74:H80)</f>
        <v>3510841</v>
      </c>
      <c r="I73" s="44"/>
      <c r="J73" s="44"/>
      <c r="K73" s="44"/>
      <c r="L73" s="44"/>
      <c r="M73" s="40"/>
      <c r="N73" s="40"/>
      <c r="O73" s="44">
        <f t="shared" ref="O73:O81" si="13">SUM(H73:N73)</f>
        <v>3510841</v>
      </c>
      <c r="Q73" s="29">
        <f>H73+H95</f>
        <v>3529437.1</v>
      </c>
      <c r="R73" s="29">
        <f>I73+I95</f>
        <v>27600.400000000023</v>
      </c>
      <c r="S73" s="29">
        <f>J73+J95</f>
        <v>0</v>
      </c>
      <c r="T73" s="29">
        <f>K73+K95</f>
        <v>0</v>
      </c>
      <c r="U73" s="29">
        <f>L73+L95</f>
        <v>0</v>
      </c>
      <c r="V73" s="29"/>
      <c r="W73" s="29"/>
      <c r="X73" s="30">
        <f>O73+O95</f>
        <v>3557037.5</v>
      </c>
    </row>
    <row r="74" spans="1:24" ht="21" customHeight="1">
      <c r="A74" s="127"/>
      <c r="B74" s="124"/>
      <c r="C74" s="122"/>
      <c r="D74" s="40">
        <v>828</v>
      </c>
      <c r="E74" s="40" t="s">
        <v>108</v>
      </c>
      <c r="F74" s="40" t="s">
        <v>112</v>
      </c>
      <c r="G74" s="40">
        <v>200</v>
      </c>
      <c r="H74" s="44">
        <v>1419321.8</v>
      </c>
      <c r="I74" s="44"/>
      <c r="J74" s="44"/>
      <c r="K74" s="47"/>
      <c r="L74" s="48"/>
      <c r="M74" s="40"/>
      <c r="N74" s="40"/>
      <c r="O74" s="44">
        <f t="shared" si="13"/>
        <v>1419321.8</v>
      </c>
    </row>
    <row r="75" spans="1:24" ht="22.5" customHeight="1">
      <c r="A75" s="127"/>
      <c r="B75" s="124"/>
      <c r="C75" s="122"/>
      <c r="D75" s="40">
        <v>828</v>
      </c>
      <c r="E75" s="40" t="s">
        <v>108</v>
      </c>
      <c r="F75" s="40" t="s">
        <v>112</v>
      </c>
      <c r="G75" s="40">
        <v>500</v>
      </c>
      <c r="H75" s="44">
        <v>1449923</v>
      </c>
      <c r="I75" s="44"/>
      <c r="J75" s="44"/>
      <c r="K75" s="47"/>
      <c r="L75" s="48"/>
      <c r="M75" s="40"/>
      <c r="N75" s="40"/>
      <c r="O75" s="44">
        <f t="shared" si="13"/>
        <v>1449923</v>
      </c>
    </row>
    <row r="76" spans="1:24" ht="19.5" customHeight="1">
      <c r="A76" s="127"/>
      <c r="B76" s="124"/>
      <c r="C76" s="122"/>
      <c r="D76" s="40">
        <v>828</v>
      </c>
      <c r="E76" s="40" t="s">
        <v>108</v>
      </c>
      <c r="F76" s="40" t="s">
        <v>113</v>
      </c>
      <c r="G76" s="40">
        <v>200</v>
      </c>
      <c r="H76" s="44">
        <v>6878.7</v>
      </c>
      <c r="I76" s="44"/>
      <c r="J76" s="44"/>
      <c r="K76" s="47"/>
      <c r="L76" s="48"/>
      <c r="M76" s="40"/>
      <c r="N76" s="40"/>
      <c r="O76" s="44">
        <f t="shared" si="13"/>
        <v>6878.7</v>
      </c>
    </row>
    <row r="77" spans="1:24" ht="18.75" customHeight="1">
      <c r="A77" s="127"/>
      <c r="B77" s="124"/>
      <c r="C77" s="122"/>
      <c r="D77" s="40">
        <v>828</v>
      </c>
      <c r="E77" s="40" t="s">
        <v>108</v>
      </c>
      <c r="F77" s="40" t="s">
        <v>114</v>
      </c>
      <c r="G77" s="40">
        <v>200</v>
      </c>
      <c r="H77" s="44">
        <v>3.2</v>
      </c>
      <c r="I77" s="44"/>
      <c r="J77" s="44"/>
      <c r="K77" s="40"/>
      <c r="L77" s="40"/>
      <c r="M77" s="40"/>
      <c r="N77" s="40"/>
      <c r="O77" s="44">
        <f t="shared" si="13"/>
        <v>3.2</v>
      </c>
    </row>
    <row r="78" spans="1:24" ht="24.75" hidden="1" customHeight="1">
      <c r="A78" s="127"/>
      <c r="B78" s="124"/>
      <c r="C78" s="122"/>
      <c r="D78" s="40">
        <v>828</v>
      </c>
      <c r="E78" s="40" t="s">
        <v>108</v>
      </c>
      <c r="F78" s="40" t="s">
        <v>114</v>
      </c>
      <c r="G78" s="40">
        <v>500</v>
      </c>
      <c r="H78" s="44"/>
      <c r="I78" s="44"/>
      <c r="J78" s="44"/>
      <c r="K78" s="40"/>
      <c r="L78" s="40"/>
      <c r="M78" s="40"/>
      <c r="N78" s="40"/>
      <c r="O78" s="44">
        <f t="shared" si="13"/>
        <v>0</v>
      </c>
    </row>
    <row r="79" spans="1:24" ht="19.5" customHeight="1">
      <c r="A79" s="127"/>
      <c r="B79" s="124"/>
      <c r="C79" s="122"/>
      <c r="D79" s="40">
        <v>828</v>
      </c>
      <c r="E79" s="40" t="s">
        <v>108</v>
      </c>
      <c r="F79" s="40" t="s">
        <v>115</v>
      </c>
      <c r="G79" s="40">
        <v>200</v>
      </c>
      <c r="H79" s="49">
        <v>368536</v>
      </c>
      <c r="I79" s="49"/>
      <c r="J79" s="44"/>
      <c r="K79" s="40"/>
      <c r="L79" s="40"/>
      <c r="M79" s="40"/>
      <c r="N79" s="40"/>
      <c r="O79" s="44">
        <f t="shared" si="13"/>
        <v>368536</v>
      </c>
    </row>
    <row r="80" spans="1:24" ht="20.25" customHeight="1">
      <c r="A80" s="127"/>
      <c r="B80" s="124"/>
      <c r="C80" s="122"/>
      <c r="D80" s="42">
        <v>828</v>
      </c>
      <c r="E80" s="42" t="s">
        <v>108</v>
      </c>
      <c r="F80" s="42" t="s">
        <v>115</v>
      </c>
      <c r="G80" s="42">
        <v>500</v>
      </c>
      <c r="H80" s="50">
        <v>266178.3</v>
      </c>
      <c r="I80" s="50"/>
      <c r="J80" s="50"/>
      <c r="K80" s="42"/>
      <c r="L80" s="42"/>
      <c r="M80" s="42"/>
      <c r="N80" s="42"/>
      <c r="O80" s="50">
        <f t="shared" si="13"/>
        <v>266178.3</v>
      </c>
    </row>
    <row r="81" spans="1:17" ht="20.25" customHeight="1">
      <c r="A81" s="127"/>
      <c r="B81" s="124"/>
      <c r="C81" s="122"/>
      <c r="D81" s="51">
        <v>828</v>
      </c>
      <c r="E81" s="51" t="s">
        <v>108</v>
      </c>
      <c r="F81" s="51" t="s">
        <v>116</v>
      </c>
      <c r="G81" s="40"/>
      <c r="H81" s="44"/>
      <c r="I81" s="44">
        <f>SUM(I82:I89)</f>
        <v>6017085.2000000002</v>
      </c>
      <c r="J81" s="44">
        <f>SUM(J82:J89)</f>
        <v>4770823.5</v>
      </c>
      <c r="K81" s="44">
        <f>SUM(K82:K89)</f>
        <v>6828014.7999999998</v>
      </c>
      <c r="L81" s="40"/>
      <c r="M81" s="40"/>
      <c r="N81" s="40"/>
      <c r="O81" s="44">
        <f t="shared" si="13"/>
        <v>17615923.5</v>
      </c>
      <c r="Q81" s="29">
        <f>O73+O81+O95</f>
        <v>21172961</v>
      </c>
    </row>
    <row r="82" spans="1:17" ht="21.75" customHeight="1">
      <c r="A82" s="127"/>
      <c r="B82" s="124"/>
      <c r="C82" s="122"/>
      <c r="D82" s="51">
        <v>828</v>
      </c>
      <c r="E82" s="51" t="s">
        <v>108</v>
      </c>
      <c r="F82" s="51" t="s">
        <v>117</v>
      </c>
      <c r="G82" s="52">
        <v>200</v>
      </c>
      <c r="H82" s="44"/>
      <c r="I82" s="44">
        <f>2858805.6+182477+1063829.9</f>
        <v>4105112.5</v>
      </c>
      <c r="J82" s="53">
        <f>3456345.6+471319.9</f>
        <v>3927665.5</v>
      </c>
      <c r="K82" s="54">
        <f>4486003.1+984732.4</f>
        <v>5470735.5</v>
      </c>
      <c r="L82" s="54"/>
      <c r="M82" s="40"/>
      <c r="N82" s="40"/>
      <c r="O82" s="44">
        <f t="shared" ref="O82:O90" si="14">SUM(I82:N82)</f>
        <v>13503513.5</v>
      </c>
    </row>
    <row r="83" spans="1:17" ht="21.75" customHeight="1">
      <c r="A83" s="127"/>
      <c r="B83" s="124"/>
      <c r="C83" s="122"/>
      <c r="D83" s="51">
        <v>828</v>
      </c>
      <c r="E83" s="51" t="s">
        <v>108</v>
      </c>
      <c r="F83" s="51" t="s">
        <v>117</v>
      </c>
      <c r="G83" s="52">
        <v>400</v>
      </c>
      <c r="H83" s="44"/>
      <c r="I83" s="48"/>
      <c r="J83" s="55">
        <f>741979+101179</f>
        <v>843158</v>
      </c>
      <c r="K83" s="54">
        <f>1112969+244310.3</f>
        <v>1357279.3</v>
      </c>
      <c r="L83" s="54"/>
      <c r="M83" s="40"/>
      <c r="N83" s="40"/>
      <c r="O83" s="44">
        <f t="shared" si="14"/>
        <v>2200437.2999999998</v>
      </c>
    </row>
    <row r="84" spans="1:17" ht="24.75" customHeight="1">
      <c r="A84" s="127"/>
      <c r="B84" s="124"/>
      <c r="C84" s="122"/>
      <c r="D84" s="56">
        <v>828</v>
      </c>
      <c r="E84" s="56" t="s">
        <v>108</v>
      </c>
      <c r="F84" s="56" t="s">
        <v>118</v>
      </c>
      <c r="G84" s="52">
        <v>200</v>
      </c>
      <c r="H84" s="44"/>
      <c r="I84" s="57">
        <f>196807.1+263548.4+140000</f>
        <v>600355.5</v>
      </c>
      <c r="J84" s="58"/>
      <c r="K84" s="59"/>
      <c r="L84" s="52"/>
      <c r="M84" s="40"/>
      <c r="N84" s="40"/>
      <c r="O84" s="44">
        <f t="shared" si="14"/>
        <v>600355.5</v>
      </c>
    </row>
    <row r="85" spans="1:17" ht="24.75" customHeight="1">
      <c r="A85" s="127"/>
      <c r="B85" s="124"/>
      <c r="C85" s="122"/>
      <c r="D85" s="56">
        <v>828</v>
      </c>
      <c r="E85" s="56" t="s">
        <v>108</v>
      </c>
      <c r="F85" s="56" t="s">
        <v>118</v>
      </c>
      <c r="G85" s="52">
        <v>500</v>
      </c>
      <c r="H85" s="44"/>
      <c r="I85" s="57">
        <v>466307.8</v>
      </c>
      <c r="J85" s="52"/>
      <c r="K85" s="59"/>
      <c r="L85" s="52"/>
      <c r="M85" s="40"/>
      <c r="N85" s="40"/>
      <c r="O85" s="44">
        <f t="shared" si="14"/>
        <v>466307.8</v>
      </c>
    </row>
    <row r="86" spans="1:17" ht="22.5" customHeight="1">
      <c r="A86" s="127"/>
      <c r="B86" s="124"/>
      <c r="C86" s="122"/>
      <c r="D86" s="56">
        <v>828</v>
      </c>
      <c r="E86" s="56" t="s">
        <v>108</v>
      </c>
      <c r="F86" s="56" t="s">
        <v>119</v>
      </c>
      <c r="G86" s="52">
        <v>200</v>
      </c>
      <c r="H86" s="44"/>
      <c r="I86" s="44"/>
      <c r="J86" s="58"/>
      <c r="K86" s="59"/>
      <c r="L86" s="58"/>
      <c r="M86" s="40"/>
      <c r="N86" s="40"/>
      <c r="O86" s="44">
        <f t="shared" si="14"/>
        <v>0</v>
      </c>
    </row>
    <row r="87" spans="1:17" ht="24.75" customHeight="1">
      <c r="A87" s="127"/>
      <c r="B87" s="124"/>
      <c r="C87" s="122"/>
      <c r="D87" s="56">
        <v>828</v>
      </c>
      <c r="E87" s="56" t="s">
        <v>108</v>
      </c>
      <c r="F87" s="56" t="s">
        <v>120</v>
      </c>
      <c r="G87" s="56">
        <v>200</v>
      </c>
      <c r="H87" s="60"/>
      <c r="I87" s="61">
        <v>412903.2</v>
      </c>
      <c r="J87" s="54"/>
      <c r="K87" s="54"/>
      <c r="L87" s="54"/>
      <c r="M87" s="40"/>
      <c r="N87" s="40"/>
      <c r="O87" s="44">
        <f t="shared" si="14"/>
        <v>412903.2</v>
      </c>
    </row>
    <row r="88" spans="1:17" ht="24.75" customHeight="1">
      <c r="A88" s="127"/>
      <c r="B88" s="124"/>
      <c r="C88" s="122"/>
      <c r="D88" s="56">
        <v>828</v>
      </c>
      <c r="E88" s="56" t="s">
        <v>108</v>
      </c>
      <c r="F88" s="56" t="s">
        <v>121</v>
      </c>
      <c r="G88" s="56">
        <v>400</v>
      </c>
      <c r="H88" s="60"/>
      <c r="I88" s="61"/>
      <c r="J88" s="54"/>
      <c r="K88" s="54"/>
      <c r="L88" s="54"/>
      <c r="M88" s="40"/>
      <c r="N88" s="40"/>
      <c r="O88" s="44">
        <f t="shared" si="14"/>
        <v>0</v>
      </c>
    </row>
    <row r="89" spans="1:17" ht="22.5" customHeight="1">
      <c r="A89" s="127"/>
      <c r="B89" s="124"/>
      <c r="C89" s="122"/>
      <c r="D89" s="56">
        <v>828</v>
      </c>
      <c r="E89" s="56" t="s">
        <v>108</v>
      </c>
      <c r="F89" s="56" t="s">
        <v>120</v>
      </c>
      <c r="G89" s="56">
        <v>500</v>
      </c>
      <c r="H89" s="44"/>
      <c r="I89" s="62">
        <v>432406.2</v>
      </c>
      <c r="J89" s="54"/>
      <c r="K89" s="54"/>
      <c r="L89" s="54"/>
      <c r="M89" s="40"/>
      <c r="N89" s="40"/>
      <c r="O89" s="44">
        <f t="shared" si="14"/>
        <v>432406.2</v>
      </c>
    </row>
    <row r="90" spans="1:17" ht="36" customHeight="1">
      <c r="A90" s="127"/>
      <c r="B90" s="124"/>
      <c r="C90" s="99" t="s">
        <v>206</v>
      </c>
      <c r="D90" s="63"/>
      <c r="E90" s="63"/>
      <c r="F90" s="63"/>
      <c r="G90" s="63"/>
      <c r="H90" s="44">
        <v>3.2</v>
      </c>
      <c r="I90" s="44">
        <f>2858805.6+1000000</f>
        <v>3858805.6</v>
      </c>
      <c r="J90" s="44">
        <f>3456345.6+741979</f>
        <v>4198324.5999999996</v>
      </c>
      <c r="K90" s="44">
        <f>4486003.1+1112969</f>
        <v>5598972.0999999996</v>
      </c>
      <c r="L90" s="44"/>
      <c r="M90" s="44"/>
      <c r="N90" s="44"/>
      <c r="O90" s="44">
        <f t="shared" si="14"/>
        <v>13656102.299999999</v>
      </c>
    </row>
    <row r="91" spans="1:17" ht="34.5" customHeight="1">
      <c r="A91" s="127"/>
      <c r="B91" s="124"/>
      <c r="C91" s="41" t="s">
        <v>18</v>
      </c>
      <c r="D91" s="64"/>
      <c r="E91" s="64"/>
      <c r="F91" s="64"/>
      <c r="G91" s="64"/>
      <c r="H91" s="44"/>
      <c r="I91" s="44"/>
      <c r="J91" s="44"/>
      <c r="K91" s="44"/>
      <c r="L91" s="44"/>
      <c r="M91" s="44"/>
      <c r="N91" s="44"/>
      <c r="O91" s="44"/>
    </row>
    <row r="92" spans="1:17" ht="25.5" customHeight="1">
      <c r="A92" s="128"/>
      <c r="B92" s="124"/>
      <c r="C92" s="41" t="s">
        <v>109</v>
      </c>
      <c r="D92" s="64"/>
      <c r="E92" s="64"/>
      <c r="F92" s="64"/>
      <c r="G92" s="64"/>
      <c r="H92" s="44">
        <f>H75+H80</f>
        <v>1716101.3</v>
      </c>
      <c r="I92" s="44">
        <f>I85+I89</f>
        <v>898714</v>
      </c>
      <c r="J92" s="44"/>
      <c r="K92" s="44"/>
      <c r="L92" s="44"/>
      <c r="M92" s="44"/>
      <c r="N92" s="44"/>
      <c r="O92" s="44">
        <f>SUM(H92:N92)</f>
        <v>2614815.2999999998</v>
      </c>
    </row>
    <row r="93" spans="1:17" ht="65.25" customHeight="1">
      <c r="A93" s="129"/>
      <c r="B93" s="124"/>
      <c r="C93" s="41" t="s">
        <v>20</v>
      </c>
      <c r="D93" s="63"/>
      <c r="E93" s="63"/>
      <c r="F93" s="63"/>
      <c r="G93" s="63"/>
      <c r="H93" s="44"/>
      <c r="I93" s="44"/>
      <c r="J93" s="44"/>
      <c r="K93" s="44"/>
      <c r="L93" s="44"/>
      <c r="M93" s="44"/>
      <c r="N93" s="44"/>
      <c r="O93" s="44"/>
    </row>
    <row r="94" spans="1:17" ht="51" customHeight="1">
      <c r="A94" s="130"/>
      <c r="B94" s="124"/>
      <c r="C94" s="41" t="s">
        <v>21</v>
      </c>
      <c r="D94" s="63"/>
      <c r="E94" s="63"/>
      <c r="F94" s="63"/>
      <c r="G94" s="63"/>
      <c r="H94" s="44"/>
      <c r="I94" s="44"/>
      <c r="J94" s="44"/>
      <c r="K94" s="44"/>
      <c r="L94" s="44"/>
      <c r="M94" s="44"/>
      <c r="N94" s="44"/>
      <c r="O94" s="44"/>
    </row>
    <row r="95" spans="1:17" ht="22.5" hidden="1" customHeight="1">
      <c r="A95" s="130"/>
      <c r="B95" s="124"/>
      <c r="C95" s="41" t="s">
        <v>196</v>
      </c>
      <c r="D95" s="64"/>
      <c r="E95" s="64"/>
      <c r="F95" s="64"/>
      <c r="G95" s="64"/>
      <c r="H95" s="44">
        <v>18596.099999999999</v>
      </c>
      <c r="I95" s="48">
        <f>27600.4+249500-249500</f>
        <v>27600.400000000023</v>
      </c>
      <c r="J95" s="44"/>
      <c r="K95" s="44"/>
      <c r="L95" s="44"/>
      <c r="M95" s="44"/>
      <c r="N95" s="44"/>
      <c r="O95" s="44">
        <f>SUM(H95:N95)</f>
        <v>46196.500000000022</v>
      </c>
    </row>
    <row r="96" spans="1:17" ht="22.5" customHeight="1">
      <c r="A96" s="130"/>
      <c r="B96" s="124"/>
      <c r="C96" s="41" t="s">
        <v>22</v>
      </c>
      <c r="D96" s="64"/>
      <c r="E96" s="64"/>
      <c r="F96" s="64"/>
      <c r="G96" s="64"/>
      <c r="H96" s="44">
        <f>H92+H95</f>
        <v>1734697.4000000001</v>
      </c>
      <c r="I96" s="44">
        <f t="shared" ref="I96:O96" si="15">I92+I95</f>
        <v>926314.4</v>
      </c>
      <c r="J96" s="44"/>
      <c r="K96" s="44"/>
      <c r="L96" s="44"/>
      <c r="M96" s="44"/>
      <c r="N96" s="44"/>
      <c r="O96" s="44">
        <f t="shared" si="15"/>
        <v>2661011.7999999998</v>
      </c>
    </row>
    <row r="97" spans="1:24" ht="24.75" customHeight="1">
      <c r="A97" s="131"/>
      <c r="B97" s="124"/>
      <c r="C97" s="41" t="s">
        <v>23</v>
      </c>
      <c r="D97" s="63"/>
      <c r="E97" s="63"/>
      <c r="F97" s="63"/>
      <c r="G97" s="63"/>
      <c r="H97" s="44"/>
      <c r="I97" s="44"/>
      <c r="J97" s="44"/>
      <c r="K97" s="44"/>
      <c r="L97" s="44"/>
      <c r="M97" s="44"/>
      <c r="N97" s="44"/>
      <c r="O97" s="44"/>
    </row>
    <row r="98" spans="1:24" ht="23.25" customHeight="1">
      <c r="A98" s="126" t="s">
        <v>122</v>
      </c>
      <c r="B98" s="41"/>
      <c r="C98" s="132" t="s">
        <v>123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</row>
    <row r="99" spans="1:24" ht="23.25" customHeight="1">
      <c r="A99" s="127"/>
      <c r="B99" s="41" t="s">
        <v>66</v>
      </c>
      <c r="C99" s="125" t="s">
        <v>15</v>
      </c>
      <c r="D99" s="40">
        <v>828</v>
      </c>
      <c r="E99" s="40" t="s">
        <v>108</v>
      </c>
      <c r="F99" s="40" t="s">
        <v>124</v>
      </c>
      <c r="G99" s="40">
        <v>500</v>
      </c>
      <c r="H99" s="44">
        <f>32767.8+1365.4</f>
        <v>34133.199999999997</v>
      </c>
      <c r="I99" s="44"/>
      <c r="J99" s="44"/>
      <c r="K99" s="40"/>
      <c r="L99" s="65"/>
      <c r="M99" s="40"/>
      <c r="N99" s="40"/>
      <c r="O99" s="44">
        <f>SUM(H99:N99)</f>
        <v>34133.199999999997</v>
      </c>
      <c r="Q99" s="29">
        <f>H99+H106</f>
        <v>36702.399999999994</v>
      </c>
      <c r="R99" s="29">
        <f>I100+I106</f>
        <v>31868.199999999997</v>
      </c>
      <c r="S99" s="29">
        <f>J100+J106</f>
        <v>102447.6</v>
      </c>
      <c r="T99" s="29">
        <f>K100+K106</f>
        <v>102913.60000000001</v>
      </c>
      <c r="U99" s="29">
        <f>L99+L106</f>
        <v>0</v>
      </c>
      <c r="V99" s="29">
        <f>M99+M106</f>
        <v>0</v>
      </c>
      <c r="W99" s="29">
        <f>N99+N106</f>
        <v>0</v>
      </c>
      <c r="X99" s="30">
        <f>SUM(Q99:U99)</f>
        <v>273931.80000000005</v>
      </c>
    </row>
    <row r="100" spans="1:24" ht="20.25" customHeight="1">
      <c r="A100" s="127"/>
      <c r="B100" s="41"/>
      <c r="C100" s="125"/>
      <c r="D100" s="40">
        <v>828</v>
      </c>
      <c r="E100" s="40" t="s">
        <v>108</v>
      </c>
      <c r="F100" s="40" t="s">
        <v>125</v>
      </c>
      <c r="G100" s="40">
        <v>500</v>
      </c>
      <c r="H100" s="44"/>
      <c r="I100" s="44">
        <f>27859.1+1778.3</f>
        <v>29637.399999999998</v>
      </c>
      <c r="J100" s="44">
        <f>83843.1+11433.2</f>
        <v>95276.3</v>
      </c>
      <c r="K100" s="44">
        <f>79325.8+17413</f>
        <v>96738.8</v>
      </c>
      <c r="L100" s="66"/>
      <c r="M100" s="42"/>
      <c r="N100" s="42"/>
      <c r="O100" s="44">
        <f>SUM(I100:N100)</f>
        <v>221652.5</v>
      </c>
      <c r="Q100" s="29"/>
      <c r="R100" s="29"/>
      <c r="S100" s="29"/>
      <c r="T100" s="29"/>
      <c r="U100" s="29"/>
      <c r="V100" s="29"/>
      <c r="W100" s="29"/>
      <c r="X100" s="30"/>
    </row>
    <row r="101" spans="1:24" ht="36.75" customHeight="1">
      <c r="A101" s="127"/>
      <c r="B101" s="41"/>
      <c r="C101" s="41" t="s">
        <v>17</v>
      </c>
      <c r="D101" s="67"/>
      <c r="E101" s="67"/>
      <c r="F101" s="67"/>
      <c r="G101" s="67"/>
      <c r="H101" s="68">
        <v>32767.8</v>
      </c>
      <c r="I101" s="68">
        <v>27859.1</v>
      </c>
      <c r="J101" s="68">
        <v>83843.100000000006</v>
      </c>
      <c r="K101" s="68">
        <v>79325.8</v>
      </c>
      <c r="L101" s="40"/>
      <c r="M101" s="40"/>
      <c r="N101" s="40"/>
      <c r="O101" s="44">
        <f>SUM(H101:N101)</f>
        <v>223795.8</v>
      </c>
    </row>
    <row r="102" spans="1:24" ht="36.75" customHeight="1">
      <c r="A102" s="127"/>
      <c r="B102" s="41"/>
      <c r="C102" s="41" t="s">
        <v>18</v>
      </c>
      <c r="D102" s="64"/>
      <c r="E102" s="64"/>
      <c r="F102" s="64"/>
      <c r="G102" s="64"/>
      <c r="H102" s="44"/>
      <c r="I102" s="44"/>
      <c r="J102" s="44"/>
      <c r="K102" s="44"/>
      <c r="L102" s="44"/>
      <c r="M102" s="44"/>
      <c r="N102" s="44"/>
      <c r="O102" s="44"/>
    </row>
    <row r="103" spans="1:24" ht="26.25" customHeight="1">
      <c r="A103" s="127"/>
      <c r="B103" s="46"/>
      <c r="C103" s="46" t="s">
        <v>109</v>
      </c>
      <c r="D103" s="64"/>
      <c r="E103" s="64"/>
      <c r="F103" s="64"/>
      <c r="G103" s="64"/>
      <c r="H103" s="44">
        <f>H99</f>
        <v>34133.199999999997</v>
      </c>
      <c r="I103" s="44">
        <f>I100</f>
        <v>29637.399999999998</v>
      </c>
      <c r="J103" s="44">
        <f>J100</f>
        <v>95276.3</v>
      </c>
      <c r="K103" s="44">
        <f>K100</f>
        <v>96738.8</v>
      </c>
      <c r="L103" s="44"/>
      <c r="M103" s="44"/>
      <c r="N103" s="44"/>
      <c r="O103" s="44">
        <f>SUM(H103:N103)</f>
        <v>255785.7</v>
      </c>
    </row>
    <row r="104" spans="1:24" ht="71.25" customHeight="1">
      <c r="A104" s="127"/>
      <c r="B104" s="41"/>
      <c r="C104" s="41" t="s">
        <v>20</v>
      </c>
      <c r="D104" s="63"/>
      <c r="E104" s="63"/>
      <c r="F104" s="63"/>
      <c r="G104" s="63"/>
      <c r="H104" s="44"/>
      <c r="I104" s="44"/>
      <c r="J104" s="44"/>
      <c r="K104" s="44"/>
      <c r="L104" s="44"/>
      <c r="M104" s="44"/>
      <c r="N104" s="44"/>
      <c r="O104" s="44"/>
    </row>
    <row r="105" spans="1:24" ht="51.75" customHeight="1">
      <c r="A105" s="127"/>
      <c r="B105" s="41"/>
      <c r="C105" s="41" t="s">
        <v>21</v>
      </c>
      <c r="D105" s="63"/>
      <c r="E105" s="63"/>
      <c r="F105" s="63"/>
      <c r="G105" s="63"/>
      <c r="H105" s="44"/>
      <c r="I105" s="44"/>
      <c r="J105" s="44"/>
      <c r="K105" s="44"/>
      <c r="L105" s="44"/>
      <c r="M105" s="44"/>
      <c r="N105" s="44"/>
      <c r="O105" s="44"/>
    </row>
    <row r="106" spans="1:24" ht="33" hidden="1" customHeight="1">
      <c r="A106" s="127"/>
      <c r="B106" s="41"/>
      <c r="C106" s="41" t="s">
        <v>196</v>
      </c>
      <c r="D106" s="64"/>
      <c r="E106" s="64"/>
      <c r="F106" s="64"/>
      <c r="G106" s="64"/>
      <c r="H106" s="44">
        <v>2569.1999999999998</v>
      </c>
      <c r="I106" s="44">
        <v>2230.8000000000002</v>
      </c>
      <c r="J106" s="44">
        <v>7171.3</v>
      </c>
      <c r="K106" s="44">
        <v>6174.8</v>
      </c>
      <c r="L106" s="44"/>
      <c r="M106" s="44"/>
      <c r="N106" s="44"/>
      <c r="O106" s="44">
        <f>SUM(H106:N106)</f>
        <v>18146.099999999999</v>
      </c>
    </row>
    <row r="107" spans="1:24" ht="33" customHeight="1">
      <c r="A107" s="127"/>
      <c r="B107" s="41"/>
      <c r="C107" s="41" t="s">
        <v>22</v>
      </c>
      <c r="D107" s="64"/>
      <c r="E107" s="64"/>
      <c r="F107" s="64"/>
      <c r="G107" s="64"/>
      <c r="H107" s="44">
        <f>H103+H106</f>
        <v>36702.399999999994</v>
      </c>
      <c r="I107" s="44">
        <f t="shared" ref="I107:K107" si="16">I103+I106</f>
        <v>31868.199999999997</v>
      </c>
      <c r="J107" s="44">
        <f t="shared" si="16"/>
        <v>102447.6</v>
      </c>
      <c r="K107" s="44">
        <f t="shared" si="16"/>
        <v>102913.60000000001</v>
      </c>
      <c r="L107" s="44"/>
      <c r="M107" s="44"/>
      <c r="N107" s="44"/>
      <c r="O107" s="44">
        <f>O103+O106</f>
        <v>273931.8</v>
      </c>
    </row>
    <row r="108" spans="1:24" ht="27" customHeight="1">
      <c r="A108" s="128"/>
      <c r="B108" s="41"/>
      <c r="C108" s="41" t="s">
        <v>23</v>
      </c>
      <c r="D108" s="63"/>
      <c r="E108" s="63"/>
      <c r="F108" s="63"/>
      <c r="G108" s="63"/>
      <c r="H108" s="44"/>
      <c r="I108" s="44"/>
      <c r="J108" s="44"/>
      <c r="K108" s="44"/>
      <c r="L108" s="44"/>
      <c r="M108" s="44"/>
      <c r="N108" s="44"/>
      <c r="O108" s="44"/>
    </row>
    <row r="109" spans="1:24" ht="21" customHeight="1">
      <c r="A109" s="126" t="s">
        <v>126</v>
      </c>
      <c r="B109" s="99"/>
      <c r="C109" s="132" t="s">
        <v>127</v>
      </c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</row>
    <row r="110" spans="1:24" ht="21" customHeight="1">
      <c r="A110" s="127"/>
      <c r="B110" s="124" t="s">
        <v>71</v>
      </c>
      <c r="C110" s="122" t="s">
        <v>15</v>
      </c>
      <c r="D110" s="100">
        <v>810</v>
      </c>
      <c r="E110" s="100" t="s">
        <v>128</v>
      </c>
      <c r="F110" s="100" t="s">
        <v>129</v>
      </c>
      <c r="G110" s="98">
        <v>600</v>
      </c>
      <c r="H110" s="44">
        <v>104</v>
      </c>
      <c r="I110" s="44"/>
      <c r="J110" s="44"/>
      <c r="K110" s="44"/>
      <c r="L110" s="44"/>
      <c r="M110" s="44"/>
      <c r="N110" s="44"/>
      <c r="O110" s="44">
        <f>SUM(H110:N110)</f>
        <v>104</v>
      </c>
    </row>
    <row r="111" spans="1:24" ht="21" customHeight="1">
      <c r="A111" s="127"/>
      <c r="B111" s="124"/>
      <c r="C111" s="123"/>
      <c r="D111" s="91">
        <v>810</v>
      </c>
      <c r="E111" s="91" t="s">
        <v>128</v>
      </c>
      <c r="F111" s="91" t="s">
        <v>199</v>
      </c>
      <c r="G111" s="92">
        <v>600</v>
      </c>
      <c r="H111" s="44"/>
      <c r="I111" s="44">
        <v>104</v>
      </c>
      <c r="J111" s="44"/>
      <c r="K111" s="44"/>
      <c r="L111" s="44"/>
      <c r="M111" s="44"/>
      <c r="N111" s="44"/>
      <c r="O111" s="44">
        <f>SUM(H111:N111)</f>
        <v>104</v>
      </c>
    </row>
    <row r="112" spans="1:24" ht="33.75" customHeight="1">
      <c r="A112" s="127"/>
      <c r="B112" s="124"/>
      <c r="C112" s="99" t="s">
        <v>17</v>
      </c>
      <c r="D112" s="63"/>
      <c r="E112" s="63"/>
      <c r="F112" s="63"/>
      <c r="G112" s="63"/>
      <c r="H112" s="44"/>
      <c r="I112" s="44"/>
      <c r="J112" s="44"/>
      <c r="K112" s="44"/>
      <c r="L112" s="44"/>
      <c r="M112" s="44"/>
      <c r="N112" s="44"/>
      <c r="O112" s="44"/>
    </row>
    <row r="113" spans="1:17" ht="35.1" customHeight="1">
      <c r="A113" s="127"/>
      <c r="B113" s="124"/>
      <c r="C113" s="99" t="s">
        <v>18</v>
      </c>
      <c r="D113" s="64"/>
      <c r="E113" s="64"/>
      <c r="F113" s="64"/>
      <c r="G113" s="64"/>
      <c r="H113" s="44"/>
      <c r="I113" s="44"/>
      <c r="J113" s="44"/>
      <c r="K113" s="44"/>
      <c r="L113" s="44"/>
      <c r="M113" s="44"/>
      <c r="N113" s="44"/>
      <c r="O113" s="44"/>
    </row>
    <row r="114" spans="1:17" ht="22.35" customHeight="1">
      <c r="A114" s="127"/>
      <c r="B114" s="124"/>
      <c r="C114" s="46" t="s">
        <v>109</v>
      </c>
      <c r="D114" s="64"/>
      <c r="E114" s="64"/>
      <c r="F114" s="64"/>
      <c r="G114" s="64"/>
      <c r="H114" s="44"/>
      <c r="I114" s="44"/>
      <c r="J114" s="44"/>
      <c r="K114" s="44"/>
      <c r="L114" s="44"/>
      <c r="M114" s="44"/>
      <c r="N114" s="44"/>
      <c r="O114" s="44"/>
    </row>
    <row r="115" spans="1:17" ht="64.5" customHeight="1">
      <c r="A115" s="127"/>
      <c r="B115" s="124"/>
      <c r="C115" s="99" t="s">
        <v>20</v>
      </c>
      <c r="D115" s="63"/>
      <c r="E115" s="63"/>
      <c r="F115" s="63"/>
      <c r="G115" s="63"/>
      <c r="H115" s="44"/>
      <c r="I115" s="44"/>
      <c r="J115" s="44"/>
      <c r="K115" s="44"/>
      <c r="L115" s="44"/>
      <c r="M115" s="44"/>
      <c r="N115" s="44"/>
      <c r="O115" s="44"/>
    </row>
    <row r="116" spans="1:17" ht="52.15" customHeight="1">
      <c r="A116" s="127"/>
      <c r="B116" s="124"/>
      <c r="C116" s="99" t="s">
        <v>21</v>
      </c>
      <c r="D116" s="63"/>
      <c r="E116" s="63"/>
      <c r="F116" s="63"/>
      <c r="G116" s="63"/>
      <c r="H116" s="44"/>
      <c r="I116" s="44"/>
      <c r="J116" s="44"/>
      <c r="K116" s="44"/>
      <c r="L116" s="44"/>
      <c r="M116" s="44"/>
      <c r="N116" s="44"/>
      <c r="O116" s="44"/>
    </row>
    <row r="117" spans="1:17" ht="21" customHeight="1">
      <c r="A117" s="127"/>
      <c r="B117" s="124"/>
      <c r="C117" s="99" t="s">
        <v>22</v>
      </c>
      <c r="D117" s="64"/>
      <c r="E117" s="64"/>
      <c r="F117" s="64"/>
      <c r="G117" s="64"/>
      <c r="H117" s="44"/>
      <c r="I117" s="44"/>
      <c r="J117" s="44"/>
      <c r="K117" s="44"/>
      <c r="L117" s="44"/>
      <c r="M117" s="44"/>
      <c r="N117" s="44"/>
      <c r="O117" s="44"/>
    </row>
    <row r="118" spans="1:17" ht="21.75" customHeight="1">
      <c r="A118" s="128"/>
      <c r="B118" s="124"/>
      <c r="C118" s="99" t="s">
        <v>23</v>
      </c>
      <c r="D118" s="63"/>
      <c r="E118" s="63"/>
      <c r="F118" s="63"/>
      <c r="G118" s="63"/>
      <c r="H118" s="44"/>
      <c r="I118" s="44"/>
      <c r="J118" s="44"/>
      <c r="K118" s="44"/>
      <c r="L118" s="44"/>
      <c r="M118" s="44"/>
      <c r="N118" s="44"/>
      <c r="O118" s="44"/>
    </row>
    <row r="119" spans="1:17" ht="29.85" customHeight="1">
      <c r="A119" s="126" t="s">
        <v>130</v>
      </c>
      <c r="B119" s="41"/>
      <c r="C119" s="132" t="s">
        <v>131</v>
      </c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</row>
    <row r="120" spans="1:17" ht="22.5" customHeight="1">
      <c r="A120" s="127"/>
      <c r="B120" s="124" t="s">
        <v>76</v>
      </c>
      <c r="C120" s="41" t="s">
        <v>15</v>
      </c>
      <c r="D120" s="56">
        <v>828</v>
      </c>
      <c r="E120" s="56" t="s">
        <v>108</v>
      </c>
      <c r="F120" s="56" t="s">
        <v>132</v>
      </c>
      <c r="G120" s="56">
        <v>500</v>
      </c>
      <c r="H120" s="44">
        <f>36275+1512.4</f>
        <v>37787.4</v>
      </c>
      <c r="I120" s="44">
        <v>0</v>
      </c>
      <c r="J120" s="44">
        <f>79969.8+10905.2</f>
        <v>90875</v>
      </c>
      <c r="K120" s="44">
        <v>0</v>
      </c>
      <c r="L120" s="44">
        <v>0</v>
      </c>
      <c r="M120" s="44">
        <v>0</v>
      </c>
      <c r="N120" s="44">
        <v>0</v>
      </c>
      <c r="O120" s="44">
        <f>SUM(H120:N120)</f>
        <v>128662.39999999999</v>
      </c>
      <c r="Q120" s="29">
        <f>O120-O121</f>
        <v>12417.599999999991</v>
      </c>
    </row>
    <row r="121" spans="1:17" ht="31.5">
      <c r="A121" s="127"/>
      <c r="B121" s="124"/>
      <c r="C121" s="41" t="s">
        <v>17</v>
      </c>
      <c r="D121" s="63"/>
      <c r="E121" s="63"/>
      <c r="F121" s="63"/>
      <c r="G121" s="63"/>
      <c r="H121" s="44">
        <v>36275</v>
      </c>
      <c r="I121" s="44">
        <v>0</v>
      </c>
      <c r="J121" s="44">
        <v>79969.8</v>
      </c>
      <c r="K121" s="44">
        <v>0</v>
      </c>
      <c r="L121" s="44">
        <v>0</v>
      </c>
      <c r="M121" s="44">
        <v>0</v>
      </c>
      <c r="N121" s="44">
        <v>0</v>
      </c>
      <c r="O121" s="44">
        <f>SUM(H121:N121)</f>
        <v>116244.8</v>
      </c>
    </row>
    <row r="122" spans="1:17" ht="31.5" customHeight="1">
      <c r="A122" s="127"/>
      <c r="B122" s="124"/>
      <c r="C122" s="41" t="s">
        <v>18</v>
      </c>
      <c r="D122" s="64"/>
      <c r="E122" s="64"/>
      <c r="F122" s="64"/>
      <c r="G122" s="64"/>
      <c r="H122" s="40"/>
      <c r="I122" s="40"/>
      <c r="J122" s="40"/>
      <c r="K122" s="40"/>
      <c r="L122" s="40"/>
      <c r="M122" s="40"/>
      <c r="N122" s="40"/>
      <c r="O122" s="44">
        <v>0</v>
      </c>
    </row>
    <row r="123" spans="1:17" ht="19.5" customHeight="1">
      <c r="A123" s="127"/>
      <c r="B123" s="124"/>
      <c r="C123" s="46" t="s">
        <v>109</v>
      </c>
      <c r="D123" s="64"/>
      <c r="E123" s="64"/>
      <c r="F123" s="64"/>
      <c r="G123" s="64"/>
      <c r="H123" s="44">
        <f>H120</f>
        <v>37787.4</v>
      </c>
      <c r="I123" s="40"/>
      <c r="J123" s="44">
        <f>J120</f>
        <v>90875</v>
      </c>
      <c r="K123" s="40"/>
      <c r="L123" s="40"/>
      <c r="M123" s="40"/>
      <c r="N123" s="40"/>
      <c r="O123" s="44">
        <f>SUM(H123:N123)</f>
        <v>128662.39999999999</v>
      </c>
    </row>
    <row r="124" spans="1:17" ht="63">
      <c r="A124" s="127"/>
      <c r="B124" s="124"/>
      <c r="C124" s="41" t="s">
        <v>20</v>
      </c>
      <c r="D124" s="63"/>
      <c r="E124" s="63"/>
      <c r="F124" s="63"/>
      <c r="G124" s="63"/>
      <c r="H124" s="40"/>
      <c r="I124" s="40"/>
      <c r="J124" s="40"/>
      <c r="K124" s="40"/>
      <c r="L124" s="40"/>
      <c r="M124" s="40"/>
      <c r="N124" s="40"/>
      <c r="O124" s="44"/>
    </row>
    <row r="125" spans="1:17" ht="50.25" customHeight="1">
      <c r="A125" s="127"/>
      <c r="B125" s="124"/>
      <c r="C125" s="41" t="s">
        <v>21</v>
      </c>
      <c r="D125" s="63"/>
      <c r="E125" s="63"/>
      <c r="F125" s="63"/>
      <c r="G125" s="63"/>
      <c r="H125" s="40"/>
      <c r="I125" s="40"/>
      <c r="J125" s="40"/>
      <c r="K125" s="40"/>
      <c r="L125" s="40"/>
      <c r="M125" s="40"/>
      <c r="N125" s="40"/>
      <c r="O125" s="44"/>
    </row>
    <row r="126" spans="1:17" ht="21" hidden="1" customHeight="1">
      <c r="A126" s="127"/>
      <c r="B126" s="124"/>
      <c r="C126" s="41" t="s">
        <v>196</v>
      </c>
      <c r="D126" s="64"/>
      <c r="E126" s="64"/>
      <c r="F126" s="64"/>
      <c r="G126" s="64"/>
      <c r="H126" s="44">
        <v>2411.9639999999999</v>
      </c>
      <c r="I126" s="40"/>
      <c r="J126" s="44">
        <v>5653.8</v>
      </c>
      <c r="K126" s="40"/>
      <c r="L126" s="40"/>
      <c r="M126" s="40"/>
      <c r="N126" s="40"/>
      <c r="O126" s="44">
        <f>SUM(H126:N126)</f>
        <v>8065.7640000000001</v>
      </c>
    </row>
    <row r="127" spans="1:17" ht="21" customHeight="1">
      <c r="A127" s="127"/>
      <c r="B127" s="124"/>
      <c r="C127" s="41" t="s">
        <v>22</v>
      </c>
      <c r="D127" s="64"/>
      <c r="E127" s="64"/>
      <c r="F127" s="64"/>
      <c r="G127" s="64"/>
      <c r="H127" s="44">
        <f>H123+H126</f>
        <v>40199.364000000001</v>
      </c>
      <c r="I127" s="40"/>
      <c r="J127" s="44">
        <f>J123+J126</f>
        <v>96528.8</v>
      </c>
      <c r="K127" s="40"/>
      <c r="L127" s="40"/>
      <c r="M127" s="40"/>
      <c r="N127" s="40"/>
      <c r="O127" s="44">
        <f>O123+O126</f>
        <v>136728.16399999999</v>
      </c>
    </row>
    <row r="128" spans="1:17" ht="22.5" customHeight="1">
      <c r="A128" s="128"/>
      <c r="B128" s="124"/>
      <c r="C128" s="41" t="s">
        <v>23</v>
      </c>
      <c r="D128" s="63"/>
      <c r="E128" s="63"/>
      <c r="F128" s="63"/>
      <c r="G128" s="63"/>
      <c r="H128" s="44">
        <v>4466.6000000000004</v>
      </c>
      <c r="I128" s="40"/>
      <c r="J128" s="44">
        <v>10725.5</v>
      </c>
      <c r="K128" s="40"/>
      <c r="L128" s="40"/>
      <c r="M128" s="40"/>
      <c r="N128" s="40"/>
      <c r="O128" s="44">
        <f>SUM(H128:N128)</f>
        <v>15192.1</v>
      </c>
    </row>
    <row r="129" spans="1:24" ht="32.25" hidden="1" customHeight="1">
      <c r="A129" s="40" t="s">
        <v>133</v>
      </c>
      <c r="B129" s="41"/>
      <c r="C129" s="132" t="s">
        <v>80</v>
      </c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</row>
    <row r="130" spans="1:24" ht="15.75" hidden="1" customHeight="1">
      <c r="A130" s="70"/>
      <c r="B130" s="124" t="s">
        <v>80</v>
      </c>
      <c r="C130" s="41" t="s">
        <v>54</v>
      </c>
      <c r="D130" s="41"/>
      <c r="E130" s="41"/>
      <c r="F130" s="41"/>
      <c r="G130" s="41"/>
      <c r="H130" s="44"/>
      <c r="I130" s="44"/>
      <c r="J130" s="44"/>
      <c r="K130" s="44"/>
      <c r="L130" s="44"/>
      <c r="M130" s="44"/>
      <c r="N130" s="44"/>
      <c r="O130" s="44"/>
    </row>
    <row r="131" spans="1:24" hidden="1">
      <c r="A131" s="70"/>
      <c r="B131" s="124"/>
      <c r="C131" s="41" t="s">
        <v>15</v>
      </c>
      <c r="D131" s="63"/>
      <c r="E131" s="63"/>
      <c r="F131" s="63"/>
      <c r="G131" s="63"/>
      <c r="H131" s="44"/>
      <c r="I131" s="44"/>
      <c r="J131" s="44"/>
      <c r="K131" s="44"/>
      <c r="L131" s="44"/>
      <c r="M131" s="44"/>
      <c r="N131" s="44"/>
      <c r="O131" s="44"/>
    </row>
    <row r="132" spans="1:24" hidden="1">
      <c r="A132" s="70"/>
      <c r="B132" s="124"/>
      <c r="C132" s="41" t="s">
        <v>134</v>
      </c>
      <c r="D132" s="64"/>
      <c r="E132" s="64"/>
      <c r="F132" s="64"/>
      <c r="G132" s="64"/>
      <c r="H132" s="44"/>
      <c r="I132" s="44"/>
      <c r="J132" s="44"/>
      <c r="K132" s="44"/>
      <c r="L132" s="44"/>
      <c r="M132" s="44"/>
      <c r="N132" s="44"/>
      <c r="O132" s="44"/>
    </row>
    <row r="133" spans="1:24" ht="47.25" hidden="1">
      <c r="A133" s="70"/>
      <c r="B133" s="124"/>
      <c r="C133" s="41" t="s">
        <v>135</v>
      </c>
      <c r="D133" s="64"/>
      <c r="E133" s="64"/>
      <c r="F133" s="64"/>
      <c r="G133" s="64"/>
      <c r="H133" s="44"/>
      <c r="I133" s="44"/>
      <c r="J133" s="44"/>
      <c r="K133" s="44"/>
      <c r="L133" s="44"/>
      <c r="M133" s="44"/>
      <c r="N133" s="44"/>
      <c r="O133" s="44"/>
    </row>
    <row r="134" spans="1:24" ht="54" hidden="1" customHeight="1">
      <c r="A134" s="70"/>
      <c r="B134" s="124"/>
      <c r="C134" s="41" t="s">
        <v>136</v>
      </c>
      <c r="D134" s="63"/>
      <c r="E134" s="63"/>
      <c r="F134" s="63"/>
      <c r="G134" s="63"/>
      <c r="H134" s="44"/>
      <c r="I134" s="44"/>
      <c r="J134" s="44"/>
      <c r="K134" s="44"/>
      <c r="L134" s="44"/>
      <c r="M134" s="44"/>
      <c r="N134" s="44"/>
      <c r="O134" s="44"/>
    </row>
    <row r="135" spans="1:24" ht="31.5" hidden="1">
      <c r="A135" s="70"/>
      <c r="B135" s="124"/>
      <c r="C135" s="41" t="s">
        <v>137</v>
      </c>
      <c r="D135" s="63"/>
      <c r="E135" s="63"/>
      <c r="F135" s="63"/>
      <c r="G135" s="63"/>
      <c r="H135" s="44"/>
      <c r="I135" s="44"/>
      <c r="J135" s="44"/>
      <c r="K135" s="44"/>
      <c r="L135" s="44"/>
      <c r="M135" s="44"/>
      <c r="N135" s="44"/>
      <c r="O135" s="44"/>
    </row>
    <row r="136" spans="1:24" ht="31.5" hidden="1">
      <c r="A136" s="70"/>
      <c r="B136" s="124"/>
      <c r="C136" s="41" t="s">
        <v>138</v>
      </c>
      <c r="D136" s="64"/>
      <c r="E136" s="64"/>
      <c r="F136" s="64"/>
      <c r="G136" s="64"/>
      <c r="H136" s="44"/>
      <c r="I136" s="44"/>
      <c r="J136" s="44"/>
      <c r="K136" s="44"/>
      <c r="L136" s="44"/>
      <c r="M136" s="44"/>
      <c r="N136" s="44"/>
      <c r="O136" s="44"/>
    </row>
    <row r="137" spans="1:24" ht="27" hidden="1" customHeight="1">
      <c r="A137" s="70"/>
      <c r="B137" s="124"/>
      <c r="C137" s="41" t="s">
        <v>23</v>
      </c>
      <c r="D137" s="63"/>
      <c r="E137" s="63"/>
      <c r="F137" s="63"/>
      <c r="G137" s="63"/>
      <c r="H137" s="44"/>
      <c r="I137" s="44"/>
      <c r="J137" s="44"/>
      <c r="K137" s="44"/>
      <c r="L137" s="44"/>
      <c r="M137" s="44"/>
      <c r="N137" s="44"/>
      <c r="O137" s="44"/>
    </row>
    <row r="138" spans="1:24" ht="27.75" customHeight="1">
      <c r="A138" s="133" t="s">
        <v>133</v>
      </c>
      <c r="B138" s="71"/>
      <c r="C138" s="132" t="s">
        <v>139</v>
      </c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</row>
    <row r="139" spans="1:24" ht="18.75" customHeight="1">
      <c r="A139" s="134"/>
      <c r="B139" s="41" t="s">
        <v>82</v>
      </c>
      <c r="C139" s="142" t="s">
        <v>15</v>
      </c>
      <c r="D139" s="69">
        <v>828</v>
      </c>
      <c r="E139" s="69" t="s">
        <v>108</v>
      </c>
      <c r="F139" s="69" t="s">
        <v>140</v>
      </c>
      <c r="G139" s="41"/>
      <c r="H139" s="44">
        <f>SUM(H140:H141)</f>
        <v>706748.9</v>
      </c>
      <c r="I139" s="44">
        <f t="shared" ref="I139:N139" si="17">SUM(I142:I148)</f>
        <v>1294041.3998600002</v>
      </c>
      <c r="J139" s="44">
        <f t="shared" si="17"/>
        <v>1039202.5</v>
      </c>
      <c r="K139" s="44">
        <f t="shared" si="17"/>
        <v>1609160.4</v>
      </c>
      <c r="L139" s="44">
        <f t="shared" si="17"/>
        <v>5673976.3999999994</v>
      </c>
      <c r="M139" s="44">
        <f t="shared" si="17"/>
        <v>6057926.5999999996</v>
      </c>
      <c r="N139" s="44">
        <f t="shared" si="17"/>
        <v>6239477</v>
      </c>
      <c r="O139" s="44">
        <f t="shared" ref="O139:O148" si="18">SUM(H139:N139)</f>
        <v>22620533.199859999</v>
      </c>
      <c r="Q139" s="29">
        <f t="shared" ref="Q139:W139" si="19">H139+H154</f>
        <v>716376.70000000007</v>
      </c>
      <c r="R139" s="29">
        <f t="shared" si="19"/>
        <v>1336806.9273600003</v>
      </c>
      <c r="S139" s="29">
        <f t="shared" si="19"/>
        <v>1097422.3</v>
      </c>
      <c r="T139" s="29">
        <f t="shared" si="19"/>
        <v>1609160.4</v>
      </c>
      <c r="U139" s="29">
        <f t="shared" si="19"/>
        <v>5673976.3999999994</v>
      </c>
      <c r="V139" s="29">
        <f t="shared" si="19"/>
        <v>6057926.5999999996</v>
      </c>
      <c r="W139" s="29">
        <f t="shared" si="19"/>
        <v>6239477</v>
      </c>
      <c r="X139" s="30">
        <f>SUM(Q139:W139)</f>
        <v>22731146.327359997</v>
      </c>
    </row>
    <row r="140" spans="1:24" ht="48" customHeight="1">
      <c r="A140" s="134"/>
      <c r="B140" s="41"/>
      <c r="C140" s="142"/>
      <c r="D140" s="69">
        <v>828</v>
      </c>
      <c r="E140" s="69" t="s">
        <v>108</v>
      </c>
      <c r="F140" s="69" t="s">
        <v>141</v>
      </c>
      <c r="G140" s="69" t="s">
        <v>142</v>
      </c>
      <c r="H140" s="44">
        <f>290584.4+88247.8+121337.5+63601.2+15066</f>
        <v>578836.9</v>
      </c>
      <c r="I140" s="44"/>
      <c r="J140" s="44"/>
      <c r="K140" s="44"/>
      <c r="L140" s="44"/>
      <c r="M140" s="44"/>
      <c r="N140" s="44"/>
      <c r="O140" s="44">
        <f t="shared" si="18"/>
        <v>578836.9</v>
      </c>
    </row>
    <row r="141" spans="1:24" ht="24.75" customHeight="1">
      <c r="A141" s="134"/>
      <c r="B141" s="41"/>
      <c r="C141" s="142"/>
      <c r="D141" s="72">
        <v>828</v>
      </c>
      <c r="E141" s="72" t="s">
        <v>108</v>
      </c>
      <c r="F141" s="72" t="s">
        <v>143</v>
      </c>
      <c r="G141" s="72">
        <v>500</v>
      </c>
      <c r="H141" s="44">
        <v>127912</v>
      </c>
      <c r="I141" s="44"/>
      <c r="J141" s="44"/>
      <c r="K141" s="44"/>
      <c r="L141" s="44"/>
      <c r="M141" s="44"/>
      <c r="N141" s="44"/>
      <c r="O141" s="44">
        <f t="shared" si="18"/>
        <v>127912</v>
      </c>
    </row>
    <row r="142" spans="1:24" ht="24" customHeight="1">
      <c r="A142" s="134"/>
      <c r="B142" s="46"/>
      <c r="C142" s="142"/>
      <c r="D142" s="73">
        <v>828</v>
      </c>
      <c r="E142" s="73" t="s">
        <v>108</v>
      </c>
      <c r="F142" s="73" t="s">
        <v>144</v>
      </c>
      <c r="G142" s="74">
        <v>400</v>
      </c>
      <c r="H142" s="49"/>
      <c r="I142" s="49">
        <f>204708-6734.5-15066</f>
        <v>182907.5</v>
      </c>
      <c r="J142" s="49"/>
      <c r="K142" s="49">
        <v>1059760.3999999999</v>
      </c>
      <c r="L142" s="49">
        <f>5927829.6+298138-576991.2</f>
        <v>5648976.3999999994</v>
      </c>
      <c r="M142" s="49">
        <f>6929000-896073.4</f>
        <v>6032926.5999999996</v>
      </c>
      <c r="N142" s="49">
        <f>7454557-1240080</f>
        <v>6214477</v>
      </c>
      <c r="O142" s="49">
        <f t="shared" si="18"/>
        <v>19139047.899999999</v>
      </c>
    </row>
    <row r="143" spans="1:24" ht="19.5" customHeight="1">
      <c r="A143" s="134"/>
      <c r="B143" s="41"/>
      <c r="C143" s="142"/>
      <c r="D143" s="69">
        <v>828</v>
      </c>
      <c r="E143" s="69" t="s">
        <v>108</v>
      </c>
      <c r="F143" s="69" t="s">
        <v>145</v>
      </c>
      <c r="G143" s="72">
        <v>400</v>
      </c>
      <c r="H143" s="44"/>
      <c r="I143" s="44">
        <v>165593.29999999999</v>
      </c>
      <c r="J143" s="44">
        <v>100000</v>
      </c>
      <c r="K143" s="44">
        <v>390000</v>
      </c>
      <c r="L143" s="44"/>
      <c r="M143" s="44"/>
      <c r="N143" s="44"/>
      <c r="O143" s="44">
        <f t="shared" si="18"/>
        <v>655593.30000000005</v>
      </c>
    </row>
    <row r="144" spans="1:24" ht="19.5" customHeight="1">
      <c r="A144" s="134"/>
      <c r="B144" s="41"/>
      <c r="C144" s="142"/>
      <c r="D144" s="69">
        <v>828</v>
      </c>
      <c r="E144" s="69" t="s">
        <v>108</v>
      </c>
      <c r="F144" s="69" t="s">
        <v>146</v>
      </c>
      <c r="G144" s="72">
        <v>500</v>
      </c>
      <c r="H144" s="44"/>
      <c r="I144" s="75">
        <v>653192.1</v>
      </c>
      <c r="J144" s="58">
        <v>874998.7</v>
      </c>
      <c r="K144" s="44"/>
      <c r="L144" s="44"/>
      <c r="M144" s="44"/>
      <c r="N144" s="44"/>
      <c r="O144" s="44">
        <f t="shared" si="18"/>
        <v>1528190.7999999998</v>
      </c>
    </row>
    <row r="145" spans="1:24" ht="19.5" customHeight="1">
      <c r="A145" s="134"/>
      <c r="B145" s="41"/>
      <c r="C145" s="142"/>
      <c r="D145" s="69">
        <v>828</v>
      </c>
      <c r="E145" s="69" t="s">
        <v>108</v>
      </c>
      <c r="F145" s="69" t="s">
        <v>147</v>
      </c>
      <c r="G145" s="72">
        <v>400</v>
      </c>
      <c r="H145" s="44"/>
      <c r="I145" s="44">
        <v>71215.8</v>
      </c>
      <c r="J145" s="44">
        <v>36203.800000000003</v>
      </c>
      <c r="K145" s="44">
        <v>59000</v>
      </c>
      <c r="L145" s="44"/>
      <c r="M145" s="44"/>
      <c r="N145" s="44"/>
      <c r="O145" s="44">
        <f t="shared" si="18"/>
        <v>166419.6</v>
      </c>
    </row>
    <row r="146" spans="1:24" ht="19.5" customHeight="1">
      <c r="A146" s="134"/>
      <c r="B146" s="41"/>
      <c r="C146" s="142"/>
      <c r="D146" s="69">
        <v>828</v>
      </c>
      <c r="E146" s="69" t="s">
        <v>108</v>
      </c>
      <c r="F146" s="69" t="s">
        <v>148</v>
      </c>
      <c r="G146" s="72">
        <v>200</v>
      </c>
      <c r="H146" s="44"/>
      <c r="I146" s="44">
        <v>55756.1</v>
      </c>
      <c r="J146" s="76"/>
      <c r="K146" s="76"/>
      <c r="L146" s="76"/>
      <c r="M146" s="76"/>
      <c r="N146" s="76"/>
      <c r="O146" s="44">
        <f t="shared" si="18"/>
        <v>55756.1</v>
      </c>
    </row>
    <row r="147" spans="1:24" ht="19.5" customHeight="1">
      <c r="A147" s="134"/>
      <c r="B147" s="41"/>
      <c r="C147" s="142"/>
      <c r="D147" s="69">
        <v>828</v>
      </c>
      <c r="E147" s="69" t="s">
        <v>108</v>
      </c>
      <c r="F147" s="69" t="s">
        <v>148</v>
      </c>
      <c r="G147" s="72">
        <v>400</v>
      </c>
      <c r="H147" s="44"/>
      <c r="I147" s="44">
        <v>67767.499860000011</v>
      </c>
      <c r="J147" s="53">
        <f>28000</f>
        <v>28000</v>
      </c>
      <c r="K147" s="53">
        <f>24400+76000</f>
        <v>100400</v>
      </c>
      <c r="L147" s="53">
        <v>25000</v>
      </c>
      <c r="M147" s="53">
        <v>25000</v>
      </c>
      <c r="N147" s="53">
        <v>25000</v>
      </c>
      <c r="O147" s="44">
        <f t="shared" si="18"/>
        <v>271167.49985999998</v>
      </c>
    </row>
    <row r="148" spans="1:24" ht="19.5" customHeight="1">
      <c r="A148" s="134"/>
      <c r="B148" s="41"/>
      <c r="C148" s="142"/>
      <c r="D148" s="69">
        <v>828</v>
      </c>
      <c r="E148" s="69" t="s">
        <v>108</v>
      </c>
      <c r="F148" s="69" t="s">
        <v>148</v>
      </c>
      <c r="G148" s="72">
        <v>800</v>
      </c>
      <c r="H148" s="44"/>
      <c r="I148" s="44">
        <v>97609.1</v>
      </c>
      <c r="J148" s="77"/>
      <c r="K148" s="77"/>
      <c r="L148" s="77"/>
      <c r="M148" s="77"/>
      <c r="N148" s="78"/>
      <c r="O148" s="44">
        <f t="shared" si="18"/>
        <v>97609.1</v>
      </c>
    </row>
    <row r="149" spans="1:24" ht="39.75" customHeight="1">
      <c r="A149" s="134"/>
      <c r="B149" s="41"/>
      <c r="C149" s="41" t="s">
        <v>17</v>
      </c>
      <c r="D149" s="63"/>
      <c r="E149" s="63"/>
      <c r="F149" s="63"/>
      <c r="G149" s="63"/>
      <c r="H149" s="44"/>
      <c r="I149" s="44"/>
      <c r="J149" s="44"/>
      <c r="K149" s="44"/>
      <c r="L149" s="44"/>
      <c r="M149" s="44"/>
      <c r="N149" s="44"/>
      <c r="O149" s="44"/>
    </row>
    <row r="150" spans="1:24" ht="34.5" customHeight="1">
      <c r="A150" s="134"/>
      <c r="B150" s="41"/>
      <c r="C150" s="41" t="s">
        <v>18</v>
      </c>
      <c r="D150" s="64"/>
      <c r="E150" s="64"/>
      <c r="F150" s="64"/>
      <c r="G150" s="64"/>
      <c r="H150" s="44"/>
      <c r="I150" s="44"/>
      <c r="J150" s="44"/>
      <c r="K150" s="44"/>
      <c r="L150" s="44"/>
      <c r="M150" s="44"/>
      <c r="N150" s="44"/>
      <c r="O150" s="44"/>
    </row>
    <row r="151" spans="1:24" ht="28.7" customHeight="1">
      <c r="A151" s="134"/>
      <c r="B151" s="46"/>
      <c r="C151" s="46" t="s">
        <v>109</v>
      </c>
      <c r="D151" s="64"/>
      <c r="E151" s="64"/>
      <c r="F151" s="64"/>
      <c r="G151" s="64"/>
      <c r="H151" s="44">
        <f>H141</f>
        <v>127912</v>
      </c>
      <c r="I151" s="44">
        <f t="shared" ref="I151:N151" si="20">I144</f>
        <v>653192.1</v>
      </c>
      <c r="J151" s="44">
        <f t="shared" si="20"/>
        <v>874998.7</v>
      </c>
      <c r="K151" s="44">
        <f t="shared" si="20"/>
        <v>0</v>
      </c>
      <c r="L151" s="44">
        <f t="shared" si="20"/>
        <v>0</v>
      </c>
      <c r="M151" s="44">
        <f t="shared" si="20"/>
        <v>0</v>
      </c>
      <c r="N151" s="44">
        <f t="shared" si="20"/>
        <v>0</v>
      </c>
      <c r="O151" s="44">
        <f>SUM(H151:N151)</f>
        <v>1656102.7999999998</v>
      </c>
    </row>
    <row r="152" spans="1:24" ht="66.75" customHeight="1">
      <c r="A152" s="134"/>
      <c r="B152" s="41"/>
      <c r="C152" s="41" t="s">
        <v>20</v>
      </c>
      <c r="D152" s="63"/>
      <c r="E152" s="63"/>
      <c r="F152" s="63"/>
      <c r="G152" s="63"/>
      <c r="H152" s="44"/>
      <c r="I152" s="44"/>
      <c r="J152" s="44"/>
      <c r="K152" s="44"/>
      <c r="L152" s="44"/>
      <c r="M152" s="44"/>
      <c r="N152" s="44"/>
      <c r="O152" s="44"/>
    </row>
    <row r="153" spans="1:24" ht="52.5" customHeight="1">
      <c r="A153" s="134"/>
      <c r="B153" s="41"/>
      <c r="C153" s="41" t="s">
        <v>21</v>
      </c>
      <c r="D153" s="63"/>
      <c r="E153" s="63"/>
      <c r="F153" s="63"/>
      <c r="G153" s="63"/>
      <c r="H153" s="44"/>
      <c r="I153" s="44"/>
      <c r="J153" s="44"/>
      <c r="K153" s="44"/>
      <c r="L153" s="44"/>
      <c r="M153" s="44"/>
      <c r="N153" s="44"/>
      <c r="O153" s="44"/>
    </row>
    <row r="154" spans="1:24" ht="28.5" hidden="1" customHeight="1">
      <c r="A154" s="134"/>
      <c r="B154" s="41"/>
      <c r="C154" s="41" t="s">
        <v>196</v>
      </c>
      <c r="D154" s="64"/>
      <c r="E154" s="64"/>
      <c r="F154" s="64"/>
      <c r="G154" s="64"/>
      <c r="H154" s="44">
        <v>9627.7999999999902</v>
      </c>
      <c r="I154" s="44">
        <v>42765.527500000026</v>
      </c>
      <c r="J154" s="44">
        <v>58219.8</v>
      </c>
      <c r="K154" s="44"/>
      <c r="L154" s="44"/>
      <c r="M154" s="44"/>
      <c r="N154" s="44"/>
      <c r="O154" s="44">
        <f>SUM(H154:N154)</f>
        <v>110613.12750000002</v>
      </c>
      <c r="Q154" s="33">
        <f>O139+O154</f>
        <v>22731146.32736</v>
      </c>
    </row>
    <row r="155" spans="1:24" ht="28.5" customHeight="1">
      <c r="A155" s="134"/>
      <c r="B155" s="41"/>
      <c r="C155" s="41" t="s">
        <v>22</v>
      </c>
      <c r="D155" s="64"/>
      <c r="E155" s="64"/>
      <c r="F155" s="64"/>
      <c r="G155" s="64"/>
      <c r="H155" s="44">
        <f>H151+H154</f>
        <v>137539.79999999999</v>
      </c>
      <c r="I155" s="44">
        <f t="shared" ref="I155:J155" si="21">I151+I154</f>
        <v>695957.62749999994</v>
      </c>
      <c r="J155" s="44">
        <f t="shared" si="21"/>
        <v>933218.5</v>
      </c>
      <c r="K155" s="44"/>
      <c r="L155" s="44"/>
      <c r="M155" s="44"/>
      <c r="N155" s="44"/>
      <c r="O155" s="44">
        <f>O151+O154</f>
        <v>1766715.9274999998</v>
      </c>
      <c r="Q155" s="33"/>
    </row>
    <row r="156" spans="1:24" ht="22.35" customHeight="1">
      <c r="A156" s="135"/>
      <c r="B156" s="41"/>
      <c r="C156" s="41" t="s">
        <v>23</v>
      </c>
      <c r="D156" s="63"/>
      <c r="E156" s="63"/>
      <c r="F156" s="63"/>
      <c r="G156" s="63"/>
      <c r="H156" s="44"/>
      <c r="I156" s="44"/>
      <c r="J156" s="44"/>
      <c r="K156" s="44"/>
      <c r="L156" s="44"/>
      <c r="M156" s="44"/>
      <c r="N156" s="44"/>
      <c r="O156" s="44"/>
      <c r="Q156" s="29"/>
    </row>
    <row r="157" spans="1:24" ht="29.25" customHeight="1">
      <c r="A157" s="126" t="s">
        <v>149</v>
      </c>
      <c r="B157" s="46"/>
      <c r="C157" s="132" t="s">
        <v>150</v>
      </c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  <c r="O157" s="132"/>
    </row>
    <row r="158" spans="1:24" ht="18" customHeight="1">
      <c r="A158" s="127"/>
      <c r="B158" s="124" t="s">
        <v>87</v>
      </c>
      <c r="C158" s="125" t="s">
        <v>15</v>
      </c>
      <c r="D158" s="69">
        <v>828</v>
      </c>
      <c r="E158" s="69" t="s">
        <v>108</v>
      </c>
      <c r="F158" s="69" t="s">
        <v>151</v>
      </c>
      <c r="G158" s="41"/>
      <c r="H158" s="44">
        <f>SUM(H159:H162)</f>
        <v>6978370.5</v>
      </c>
      <c r="I158" s="44">
        <f t="shared" ref="I158:N158" si="22">SUM(I163:I176)</f>
        <v>8122422.4000000004</v>
      </c>
      <c r="J158" s="44">
        <f t="shared" si="22"/>
        <v>9765612.2000000011</v>
      </c>
      <c r="K158" s="44">
        <f t="shared" si="22"/>
        <v>8456758.9000000004</v>
      </c>
      <c r="L158" s="44">
        <f t="shared" si="22"/>
        <v>9139911.1999999993</v>
      </c>
      <c r="M158" s="44">
        <f t="shared" si="22"/>
        <v>9733883.4000000004</v>
      </c>
      <c r="N158" s="44">
        <f t="shared" si="22"/>
        <v>10377890</v>
      </c>
      <c r="O158" s="44">
        <f t="shared" ref="O158:O176" si="23">SUM(H158:N158)</f>
        <v>62574848.600000001</v>
      </c>
      <c r="Q158" s="29">
        <f t="shared" ref="Q158:W158" si="24">H158+H182</f>
        <v>7101764.2999999998</v>
      </c>
      <c r="R158" s="29">
        <f t="shared" si="24"/>
        <v>8235249.1725000003</v>
      </c>
      <c r="S158" s="29">
        <f t="shared" si="24"/>
        <v>9906418.9000000004</v>
      </c>
      <c r="T158" s="29">
        <f t="shared" si="24"/>
        <v>8456758.9000000004</v>
      </c>
      <c r="U158" s="29">
        <f t="shared" si="24"/>
        <v>9139911.1999999993</v>
      </c>
      <c r="V158" s="29">
        <f t="shared" si="24"/>
        <v>9733883.4000000004</v>
      </c>
      <c r="W158" s="29">
        <f t="shared" si="24"/>
        <v>10377890</v>
      </c>
      <c r="X158" s="30">
        <f>SUM(Q158:W158)</f>
        <v>62951875.872499995</v>
      </c>
    </row>
    <row r="159" spans="1:24" ht="19.5" customHeight="1">
      <c r="A159" s="127"/>
      <c r="B159" s="124"/>
      <c r="C159" s="125"/>
      <c r="D159" s="69">
        <v>828</v>
      </c>
      <c r="E159" s="69" t="s">
        <v>108</v>
      </c>
      <c r="F159" s="69" t="s">
        <v>152</v>
      </c>
      <c r="G159" s="69" t="s">
        <v>153</v>
      </c>
      <c r="H159" s="44">
        <f>3957951.7+500+813458.2+33723.2+1040</f>
        <v>4806673.1000000006</v>
      </c>
      <c r="I159" s="44"/>
      <c r="J159" s="44"/>
      <c r="K159" s="44"/>
      <c r="L159" s="44"/>
      <c r="M159" s="44"/>
      <c r="N159" s="44"/>
      <c r="O159" s="44">
        <f t="shared" si="23"/>
        <v>4806673.1000000006</v>
      </c>
    </row>
    <row r="160" spans="1:24" ht="19.5" customHeight="1">
      <c r="A160" s="127"/>
      <c r="B160" s="124"/>
      <c r="C160" s="125"/>
      <c r="D160" s="69">
        <v>828</v>
      </c>
      <c r="E160" s="69" t="s">
        <v>108</v>
      </c>
      <c r="F160" s="69" t="s">
        <v>154</v>
      </c>
      <c r="G160" s="69" t="s">
        <v>155</v>
      </c>
      <c r="H160" s="44">
        <f>173842.1+22328-15066</f>
        <v>181104.1</v>
      </c>
      <c r="I160" s="44"/>
      <c r="J160" s="44"/>
      <c r="K160" s="44"/>
      <c r="L160" s="44"/>
      <c r="M160" s="44"/>
      <c r="N160" s="44"/>
      <c r="O160" s="44">
        <f t="shared" si="23"/>
        <v>181104.1</v>
      </c>
    </row>
    <row r="161" spans="1:18" ht="18.75" customHeight="1">
      <c r="A161" s="127"/>
      <c r="B161" s="124"/>
      <c r="C161" s="125"/>
      <c r="D161" s="69">
        <v>828</v>
      </c>
      <c r="E161" s="69" t="s">
        <v>108</v>
      </c>
      <c r="F161" s="69" t="s">
        <v>156</v>
      </c>
      <c r="G161" s="72">
        <v>500</v>
      </c>
      <c r="H161" s="44">
        <v>1860280.2</v>
      </c>
      <c r="I161" s="44"/>
      <c r="J161" s="44"/>
      <c r="K161" s="44"/>
      <c r="L161" s="44"/>
      <c r="M161" s="44"/>
      <c r="N161" s="44"/>
      <c r="O161" s="44">
        <f t="shared" si="23"/>
        <v>1860280.2</v>
      </c>
    </row>
    <row r="162" spans="1:18" ht="22.5" customHeight="1">
      <c r="A162" s="127"/>
      <c r="B162" s="124"/>
      <c r="C162" s="125"/>
      <c r="D162" s="69">
        <v>828</v>
      </c>
      <c r="E162" s="69" t="s">
        <v>108</v>
      </c>
      <c r="F162" s="69" t="s">
        <v>157</v>
      </c>
      <c r="G162" s="69" t="s">
        <v>153</v>
      </c>
      <c r="H162" s="44">
        <f>88921.3+32508.6+8883.2</f>
        <v>130313.09999999999</v>
      </c>
      <c r="I162" s="44"/>
      <c r="J162" s="44"/>
      <c r="K162" s="44"/>
      <c r="L162" s="44"/>
      <c r="M162" s="44"/>
      <c r="N162" s="44"/>
      <c r="O162" s="44">
        <f t="shared" si="23"/>
        <v>130313.09999999999</v>
      </c>
    </row>
    <row r="163" spans="1:18" ht="21" customHeight="1">
      <c r="A163" s="127"/>
      <c r="B163" s="124"/>
      <c r="C163" s="125"/>
      <c r="D163" s="69">
        <v>828</v>
      </c>
      <c r="E163" s="69" t="s">
        <v>108</v>
      </c>
      <c r="F163" s="69" t="s">
        <v>158</v>
      </c>
      <c r="G163" s="69">
        <v>200</v>
      </c>
      <c r="H163" s="44"/>
      <c r="I163" s="75">
        <v>3717060</v>
      </c>
      <c r="J163" s="79">
        <v>4269171.3</v>
      </c>
      <c r="K163" s="79">
        <f>4971571.3-K164-K165-K167</f>
        <v>4592929.8</v>
      </c>
      <c r="L163" s="79">
        <f>5376991.2-L164-L165-L167</f>
        <v>4998349.7</v>
      </c>
      <c r="M163" s="79">
        <f>5796073.4-M164-M165-M167</f>
        <v>5417431.9000000004</v>
      </c>
      <c r="N163" s="80">
        <f>6240080-N164-N165-N167</f>
        <v>5861438.5</v>
      </c>
      <c r="O163" s="44">
        <f t="shared" si="23"/>
        <v>28856381.200000003</v>
      </c>
      <c r="R163" s="29"/>
    </row>
    <row r="164" spans="1:18" ht="21" customHeight="1">
      <c r="A164" s="127"/>
      <c r="B164" s="124"/>
      <c r="C164" s="125"/>
      <c r="D164" s="69">
        <v>828</v>
      </c>
      <c r="E164" s="69" t="s">
        <v>108</v>
      </c>
      <c r="F164" s="69" t="s">
        <v>158</v>
      </c>
      <c r="G164" s="69">
        <v>800</v>
      </c>
      <c r="H164" s="44"/>
      <c r="I164" s="44">
        <f>5000-1400</f>
        <v>3600</v>
      </c>
      <c r="J164" s="44">
        <v>5000</v>
      </c>
      <c r="K164" s="44">
        <v>5000</v>
      </c>
      <c r="L164" s="44">
        <v>5000</v>
      </c>
      <c r="M164" s="44">
        <v>5000</v>
      </c>
      <c r="N164" s="44">
        <v>5000</v>
      </c>
      <c r="O164" s="44">
        <f t="shared" si="23"/>
        <v>28600</v>
      </c>
    </row>
    <row r="165" spans="1:18" ht="21" customHeight="1">
      <c r="A165" s="127"/>
      <c r="B165" s="124"/>
      <c r="C165" s="125"/>
      <c r="D165" s="69">
        <v>828</v>
      </c>
      <c r="E165" s="69" t="s">
        <v>108</v>
      </c>
      <c r="F165" s="69" t="s">
        <v>159</v>
      </c>
      <c r="G165" s="69">
        <v>200</v>
      </c>
      <c r="H165" s="44"/>
      <c r="I165" s="44">
        <v>337457.4</v>
      </c>
      <c r="J165" s="44">
        <v>189508.5</v>
      </c>
      <c r="K165" s="44">
        <v>189641.5</v>
      </c>
      <c r="L165" s="44">
        <v>189641.5</v>
      </c>
      <c r="M165" s="44">
        <v>189641.5</v>
      </c>
      <c r="N165" s="44">
        <v>189641.5</v>
      </c>
      <c r="O165" s="44">
        <f t="shared" si="23"/>
        <v>1285531.8999999999</v>
      </c>
    </row>
    <row r="166" spans="1:18" ht="21" customHeight="1">
      <c r="A166" s="127"/>
      <c r="B166" s="124"/>
      <c r="C166" s="125"/>
      <c r="D166" s="69">
        <v>828</v>
      </c>
      <c r="E166" s="69" t="s">
        <v>108</v>
      </c>
      <c r="F166" s="69" t="s">
        <v>159</v>
      </c>
      <c r="G166" s="69">
        <v>600</v>
      </c>
      <c r="H166" s="44"/>
      <c r="I166" s="44">
        <v>24075</v>
      </c>
      <c r="J166" s="44">
        <v>24774</v>
      </c>
      <c r="K166" s="44">
        <v>25363</v>
      </c>
      <c r="L166" s="44">
        <v>25363</v>
      </c>
      <c r="M166" s="44">
        <v>25363</v>
      </c>
      <c r="N166" s="44">
        <v>25363</v>
      </c>
      <c r="O166" s="44">
        <f t="shared" si="23"/>
        <v>150301</v>
      </c>
    </row>
    <row r="167" spans="1:18" ht="21" customHeight="1">
      <c r="A167" s="127"/>
      <c r="B167" s="124"/>
      <c r="C167" s="125"/>
      <c r="D167" s="69">
        <v>828</v>
      </c>
      <c r="E167" s="69" t="s">
        <v>108</v>
      </c>
      <c r="F167" s="69" t="s">
        <v>160</v>
      </c>
      <c r="G167" s="69">
        <v>200</v>
      </c>
      <c r="H167" s="44"/>
      <c r="I167" s="44">
        <v>167274.79999999999</v>
      </c>
      <c r="J167" s="44">
        <v>177000</v>
      </c>
      <c r="K167" s="44">
        <v>184000</v>
      </c>
      <c r="L167" s="44">
        <v>184000</v>
      </c>
      <c r="M167" s="44">
        <v>184000</v>
      </c>
      <c r="N167" s="44">
        <v>184000</v>
      </c>
      <c r="O167" s="44">
        <f t="shared" si="23"/>
        <v>1080274.8</v>
      </c>
    </row>
    <row r="168" spans="1:18" ht="21" customHeight="1">
      <c r="A168" s="127"/>
      <c r="B168" s="124"/>
      <c r="C168" s="125"/>
      <c r="D168" s="69">
        <v>828</v>
      </c>
      <c r="E168" s="69" t="s">
        <v>108</v>
      </c>
      <c r="F168" s="69" t="s">
        <v>161</v>
      </c>
      <c r="G168" s="69">
        <v>200</v>
      </c>
      <c r="H168" s="44"/>
      <c r="I168" s="75">
        <v>1812854.3</v>
      </c>
      <c r="J168" s="90">
        <f>1316064.1+8457</f>
        <v>1324521.1000000001</v>
      </c>
      <c r="K168" s="81">
        <v>2804224.6</v>
      </c>
      <c r="L168" s="53">
        <f>5300000+732557-3000000</f>
        <v>3032557</v>
      </c>
      <c r="M168" s="53">
        <f>5400000+807447-3000000</f>
        <v>3207447</v>
      </c>
      <c r="N168" s="82">
        <f>5500000+907447-3000000</f>
        <v>3407447</v>
      </c>
      <c r="O168" s="44">
        <f t="shared" si="23"/>
        <v>15589051</v>
      </c>
    </row>
    <row r="169" spans="1:18" ht="21" customHeight="1">
      <c r="A169" s="127"/>
      <c r="B169" s="124"/>
      <c r="C169" s="125"/>
      <c r="D169" s="69">
        <v>828</v>
      </c>
      <c r="E169" s="69" t="s">
        <v>108</v>
      </c>
      <c r="F169" s="69" t="s">
        <v>162</v>
      </c>
      <c r="G169" s="69">
        <v>500</v>
      </c>
      <c r="H169" s="44"/>
      <c r="I169" s="44">
        <v>1729764.4</v>
      </c>
      <c r="J169" s="90">
        <v>2260580.9</v>
      </c>
      <c r="K169" s="44"/>
      <c r="L169" s="44"/>
      <c r="M169" s="44"/>
      <c r="N169" s="44"/>
      <c r="O169" s="44">
        <f t="shared" si="23"/>
        <v>3990345.3</v>
      </c>
    </row>
    <row r="170" spans="1:18" ht="21" customHeight="1">
      <c r="A170" s="127"/>
      <c r="B170" s="124"/>
      <c r="C170" s="125"/>
      <c r="D170" s="69">
        <v>828</v>
      </c>
      <c r="E170" s="69" t="s">
        <v>108</v>
      </c>
      <c r="F170" s="69" t="s">
        <v>163</v>
      </c>
      <c r="G170" s="69">
        <v>200</v>
      </c>
      <c r="H170" s="44"/>
      <c r="I170" s="44"/>
      <c r="J170" s="58">
        <f>756804.4-380000</f>
        <v>376804.4</v>
      </c>
      <c r="K170" s="44">
        <v>100000</v>
      </c>
      <c r="L170" s="44">
        <v>100000</v>
      </c>
      <c r="M170" s="44">
        <v>100000</v>
      </c>
      <c r="N170" s="44">
        <v>100000</v>
      </c>
      <c r="O170" s="44">
        <f t="shared" si="23"/>
        <v>776804.4</v>
      </c>
    </row>
    <row r="171" spans="1:18" ht="21" hidden="1" customHeight="1">
      <c r="A171" s="127"/>
      <c r="B171" s="124"/>
      <c r="C171" s="125"/>
      <c r="D171" s="69">
        <v>828</v>
      </c>
      <c r="E171" s="69" t="s">
        <v>108</v>
      </c>
      <c r="F171" s="69" t="s">
        <v>164</v>
      </c>
      <c r="G171" s="69">
        <v>500</v>
      </c>
      <c r="H171" s="44"/>
      <c r="I171" s="44"/>
      <c r="J171" s="44"/>
      <c r="K171" s="44"/>
      <c r="L171" s="44"/>
      <c r="M171" s="44"/>
      <c r="N171" s="44"/>
      <c r="O171" s="44">
        <f t="shared" si="23"/>
        <v>0</v>
      </c>
    </row>
    <row r="172" spans="1:18" ht="21" customHeight="1">
      <c r="A172" s="127"/>
      <c r="B172" s="124"/>
      <c r="C172" s="125"/>
      <c r="D172" s="72">
        <v>828</v>
      </c>
      <c r="E172" s="72" t="s">
        <v>108</v>
      </c>
      <c r="F172" s="72" t="s">
        <v>165</v>
      </c>
      <c r="G172" s="72">
        <v>200</v>
      </c>
      <c r="H172" s="44"/>
      <c r="I172" s="44">
        <v>215986.5</v>
      </c>
      <c r="J172" s="44">
        <v>481452</v>
      </c>
      <c r="K172" s="44">
        <v>200000</v>
      </c>
      <c r="L172" s="44">
        <v>250000</v>
      </c>
      <c r="M172" s="44">
        <v>250000</v>
      </c>
      <c r="N172" s="44">
        <v>250000</v>
      </c>
      <c r="O172" s="44">
        <f t="shared" si="23"/>
        <v>1647438.5</v>
      </c>
    </row>
    <row r="173" spans="1:18" ht="21" customHeight="1">
      <c r="A173" s="127"/>
      <c r="B173" s="124"/>
      <c r="C173" s="125"/>
      <c r="D173" s="72">
        <v>828</v>
      </c>
      <c r="E173" s="72" t="s">
        <v>108</v>
      </c>
      <c r="F173" s="72" t="s">
        <v>166</v>
      </c>
      <c r="G173" s="72">
        <v>200</v>
      </c>
      <c r="H173" s="44"/>
      <c r="I173" s="44"/>
      <c r="J173" s="44">
        <v>380000</v>
      </c>
      <c r="K173" s="44"/>
      <c r="L173" s="44"/>
      <c r="M173" s="44"/>
      <c r="N173" s="44"/>
      <c r="O173" s="44">
        <f t="shared" si="23"/>
        <v>380000</v>
      </c>
    </row>
    <row r="174" spans="1:18" ht="21" customHeight="1">
      <c r="A174" s="127"/>
      <c r="B174" s="124"/>
      <c r="C174" s="125"/>
      <c r="D174" s="72">
        <v>828</v>
      </c>
      <c r="E174" s="72" t="s">
        <v>108</v>
      </c>
      <c r="F174" s="72" t="s">
        <v>167</v>
      </c>
      <c r="G174" s="72">
        <v>200</v>
      </c>
      <c r="H174" s="44"/>
      <c r="I174" s="75">
        <v>14691.2</v>
      </c>
      <c r="J174" s="44">
        <v>174800</v>
      </c>
      <c r="K174" s="44">
        <v>250000</v>
      </c>
      <c r="L174" s="44">
        <v>250000</v>
      </c>
      <c r="M174" s="44">
        <v>250000</v>
      </c>
      <c r="N174" s="44">
        <v>250000</v>
      </c>
      <c r="O174" s="44">
        <f t="shared" si="23"/>
        <v>1189491.2</v>
      </c>
    </row>
    <row r="175" spans="1:18" ht="21" customHeight="1">
      <c r="A175" s="127"/>
      <c r="B175" s="124"/>
      <c r="C175" s="125"/>
      <c r="D175" s="72">
        <v>828</v>
      </c>
      <c r="E175" s="72" t="s">
        <v>108</v>
      </c>
      <c r="F175" s="72" t="s">
        <v>168</v>
      </c>
      <c r="G175" s="72">
        <v>200</v>
      </c>
      <c r="H175" s="44"/>
      <c r="I175" s="50">
        <v>89483.8</v>
      </c>
      <c r="J175" s="50">
        <f>49000+53000</f>
        <v>102000</v>
      </c>
      <c r="K175" s="50">
        <v>105600</v>
      </c>
      <c r="L175" s="50">
        <v>105000</v>
      </c>
      <c r="M175" s="50">
        <v>105000</v>
      </c>
      <c r="N175" s="50">
        <v>105000</v>
      </c>
      <c r="O175" s="44">
        <f t="shared" si="23"/>
        <v>612083.80000000005</v>
      </c>
    </row>
    <row r="176" spans="1:18" ht="18" customHeight="1">
      <c r="A176" s="127"/>
      <c r="B176" s="124"/>
      <c r="C176" s="125"/>
      <c r="D176" s="72">
        <v>828</v>
      </c>
      <c r="E176" s="72" t="s">
        <v>108</v>
      </c>
      <c r="F176" s="72" t="s">
        <v>168</v>
      </c>
      <c r="G176" s="72">
        <v>800</v>
      </c>
      <c r="H176" s="44"/>
      <c r="I176" s="50">
        <f>8775+1400</f>
        <v>10175</v>
      </c>
      <c r="J176" s="44"/>
      <c r="K176" s="44"/>
      <c r="L176" s="44"/>
      <c r="M176" s="44"/>
      <c r="N176" s="44"/>
      <c r="O176" s="44">
        <f t="shared" si="23"/>
        <v>10175</v>
      </c>
    </row>
    <row r="177" spans="1:24" ht="32.25" customHeight="1">
      <c r="A177" s="127"/>
      <c r="B177" s="124"/>
      <c r="C177" s="41" t="s">
        <v>17</v>
      </c>
      <c r="D177" s="63"/>
      <c r="E177" s="63"/>
      <c r="F177" s="63"/>
      <c r="G177" s="63"/>
      <c r="H177" s="44"/>
      <c r="I177" s="44"/>
      <c r="J177" s="44"/>
      <c r="K177" s="44"/>
      <c r="L177" s="44"/>
      <c r="M177" s="44"/>
      <c r="N177" s="44"/>
      <c r="O177" s="44"/>
    </row>
    <row r="178" spans="1:24" ht="36.75" customHeight="1">
      <c r="A178" s="127"/>
      <c r="B178" s="124"/>
      <c r="C178" s="41" t="s">
        <v>18</v>
      </c>
      <c r="D178" s="64"/>
      <c r="E178" s="64"/>
      <c r="F178" s="64"/>
      <c r="G178" s="64"/>
      <c r="H178" s="44"/>
      <c r="I178" s="44"/>
      <c r="J178" s="44"/>
      <c r="K178" s="44"/>
      <c r="L178" s="44"/>
      <c r="M178" s="44"/>
      <c r="N178" s="44"/>
      <c r="O178" s="44"/>
    </row>
    <row r="179" spans="1:24" ht="18.75" customHeight="1">
      <c r="A179" s="127"/>
      <c r="B179" s="124"/>
      <c r="C179" s="46" t="s">
        <v>109</v>
      </c>
      <c r="D179" s="64"/>
      <c r="E179" s="64"/>
      <c r="F179" s="64"/>
      <c r="G179" s="64"/>
      <c r="H179" s="44">
        <f>H161</f>
        <v>1860280.2</v>
      </c>
      <c r="I179" s="44">
        <f t="shared" ref="I179:N179" si="25">I169</f>
        <v>1729764.4</v>
      </c>
      <c r="J179" s="44">
        <f t="shared" si="25"/>
        <v>2260580.9</v>
      </c>
      <c r="K179" s="44">
        <f t="shared" si="25"/>
        <v>0</v>
      </c>
      <c r="L179" s="44">
        <f t="shared" si="25"/>
        <v>0</v>
      </c>
      <c r="M179" s="44">
        <f t="shared" si="25"/>
        <v>0</v>
      </c>
      <c r="N179" s="44">
        <f t="shared" si="25"/>
        <v>0</v>
      </c>
      <c r="O179" s="44">
        <f>SUM(H179:N179)</f>
        <v>5850625.5</v>
      </c>
    </row>
    <row r="180" spans="1:24" ht="69.75" customHeight="1">
      <c r="A180" s="127"/>
      <c r="B180" s="124"/>
      <c r="C180" s="41" t="s">
        <v>20</v>
      </c>
      <c r="D180" s="63"/>
      <c r="E180" s="63"/>
      <c r="F180" s="63"/>
      <c r="G180" s="63"/>
      <c r="H180" s="44"/>
      <c r="I180" s="44"/>
      <c r="J180" s="44"/>
      <c r="K180" s="44"/>
      <c r="L180" s="44"/>
      <c r="M180" s="44"/>
      <c r="N180" s="44"/>
      <c r="O180" s="44"/>
    </row>
    <row r="181" spans="1:24" ht="48" customHeight="1">
      <c r="A181" s="127"/>
      <c r="B181" s="124"/>
      <c r="C181" s="41" t="s">
        <v>21</v>
      </c>
      <c r="D181" s="63"/>
      <c r="E181" s="63"/>
      <c r="F181" s="63"/>
      <c r="G181" s="63"/>
      <c r="H181" s="44"/>
      <c r="I181" s="44"/>
      <c r="J181" s="44"/>
      <c r="K181" s="44"/>
      <c r="L181" s="44"/>
      <c r="M181" s="44"/>
      <c r="N181" s="44"/>
      <c r="O181" s="44"/>
    </row>
    <row r="182" spans="1:24" ht="18.75" hidden="1" customHeight="1">
      <c r="A182" s="127"/>
      <c r="B182" s="124"/>
      <c r="C182" s="41" t="s">
        <v>196</v>
      </c>
      <c r="D182" s="64"/>
      <c r="E182" s="64"/>
      <c r="F182" s="64"/>
      <c r="G182" s="64"/>
      <c r="H182" s="44">
        <v>123393.8</v>
      </c>
      <c r="I182" s="44">
        <v>112826.77250000005</v>
      </c>
      <c r="J182" s="44">
        <v>140806.70000000001</v>
      </c>
      <c r="K182" s="44">
        <v>0</v>
      </c>
      <c r="L182" s="44">
        <v>0</v>
      </c>
      <c r="M182" s="44">
        <v>0</v>
      </c>
      <c r="N182" s="44">
        <v>0</v>
      </c>
      <c r="O182" s="44">
        <f>SUM(H182:N182)</f>
        <v>377027.27250000008</v>
      </c>
    </row>
    <row r="183" spans="1:24" ht="18.75" customHeight="1">
      <c r="A183" s="127"/>
      <c r="B183" s="124"/>
      <c r="C183" s="41" t="s">
        <v>22</v>
      </c>
      <c r="D183" s="64"/>
      <c r="E183" s="64"/>
      <c r="F183" s="64"/>
      <c r="G183" s="64"/>
      <c r="H183" s="44">
        <f>H179+H182</f>
        <v>1983674</v>
      </c>
      <c r="I183" s="44">
        <f t="shared" ref="I183:J183" si="26">I179+I182</f>
        <v>1842591.1724999999</v>
      </c>
      <c r="J183" s="44">
        <f t="shared" si="26"/>
        <v>2401387.6</v>
      </c>
      <c r="K183" s="44"/>
      <c r="L183" s="44"/>
      <c r="M183" s="44"/>
      <c r="N183" s="44"/>
      <c r="O183" s="44">
        <f>O179+O182</f>
        <v>6227652.7725</v>
      </c>
    </row>
    <row r="184" spans="1:24" ht="21" customHeight="1">
      <c r="A184" s="128"/>
      <c r="B184" s="124"/>
      <c r="C184" s="41" t="s">
        <v>23</v>
      </c>
      <c r="D184" s="63"/>
      <c r="E184" s="63"/>
      <c r="F184" s="63"/>
      <c r="G184" s="63"/>
      <c r="H184" s="44"/>
      <c r="I184" s="44"/>
      <c r="J184" s="44"/>
      <c r="K184" s="44"/>
      <c r="L184" s="44"/>
      <c r="M184" s="44"/>
      <c r="N184" s="44"/>
      <c r="O184" s="44"/>
    </row>
    <row r="185" spans="1:24" ht="24.75" customHeight="1">
      <c r="A185" s="126" t="s">
        <v>169</v>
      </c>
      <c r="B185" s="93"/>
      <c r="C185" s="132" t="s">
        <v>92</v>
      </c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  <c r="O185" s="132"/>
    </row>
    <row r="186" spans="1:24" ht="32.25" customHeight="1">
      <c r="A186" s="127"/>
      <c r="B186" s="93" t="s">
        <v>92</v>
      </c>
      <c r="C186" s="136" t="s">
        <v>15</v>
      </c>
      <c r="D186" s="89">
        <v>828</v>
      </c>
      <c r="E186" s="83" t="s">
        <v>170</v>
      </c>
      <c r="F186" s="89" t="s">
        <v>171</v>
      </c>
      <c r="G186" s="94"/>
      <c r="H186" s="44">
        <f t="shared" ref="H186:N186" si="27">SUM(H187:H200)</f>
        <v>1725640.4000000001</v>
      </c>
      <c r="I186" s="44">
        <f t="shared" si="27"/>
        <v>1469901.3</v>
      </c>
      <c r="J186" s="44">
        <f t="shared" si="27"/>
        <v>1961970.7</v>
      </c>
      <c r="K186" s="44">
        <f t="shared" si="27"/>
        <v>1942708.4999999998</v>
      </c>
      <c r="L186" s="44">
        <f t="shared" si="27"/>
        <v>1988911.5</v>
      </c>
      <c r="M186" s="44">
        <f t="shared" si="27"/>
        <v>2054058</v>
      </c>
      <c r="N186" s="44">
        <f t="shared" si="27"/>
        <v>1538578.2</v>
      </c>
      <c r="O186" s="44">
        <f t="shared" ref="O186:O200" si="28">SUM(H186:N186)</f>
        <v>12681768.6</v>
      </c>
      <c r="Q186" s="29">
        <f t="shared" ref="Q186:X186" si="29">H186+H206</f>
        <v>1726767.5000000002</v>
      </c>
      <c r="R186" s="29">
        <f t="shared" si="29"/>
        <v>1471375.2</v>
      </c>
      <c r="S186" s="29">
        <f t="shared" si="29"/>
        <v>1963444.5999999999</v>
      </c>
      <c r="T186" s="29">
        <f t="shared" si="29"/>
        <v>1944182.3999999997</v>
      </c>
      <c r="U186" s="29">
        <f t="shared" si="29"/>
        <v>1990385.4</v>
      </c>
      <c r="V186" s="29">
        <f t="shared" si="29"/>
        <v>2055531.9</v>
      </c>
      <c r="W186" s="29">
        <f t="shared" si="29"/>
        <v>1540052.0999999999</v>
      </c>
      <c r="X186" s="30">
        <f t="shared" si="29"/>
        <v>12691739.1</v>
      </c>
    </row>
    <row r="187" spans="1:24" ht="21.75" customHeight="1">
      <c r="A187" s="127"/>
      <c r="B187" s="93"/>
      <c r="C187" s="137"/>
      <c r="D187" s="89">
        <v>828</v>
      </c>
      <c r="E187" s="83" t="s">
        <v>172</v>
      </c>
      <c r="F187" s="89" t="s">
        <v>173</v>
      </c>
      <c r="G187" s="89">
        <v>500</v>
      </c>
      <c r="H187" s="44">
        <v>20436</v>
      </c>
      <c r="I187" s="44">
        <v>20993</v>
      </c>
      <c r="J187" s="44">
        <v>20993</v>
      </c>
      <c r="K187" s="44">
        <v>20993</v>
      </c>
      <c r="L187" s="44">
        <v>20993</v>
      </c>
      <c r="M187" s="44">
        <v>20993</v>
      </c>
      <c r="N187" s="44">
        <v>20993</v>
      </c>
      <c r="O187" s="44">
        <f t="shared" si="28"/>
        <v>146394</v>
      </c>
    </row>
    <row r="188" spans="1:24" ht="21.75" customHeight="1">
      <c r="A188" s="127"/>
      <c r="B188" s="93"/>
      <c r="C188" s="137"/>
      <c r="D188" s="89">
        <v>828</v>
      </c>
      <c r="E188" s="89" t="s">
        <v>172</v>
      </c>
      <c r="F188" s="89" t="s">
        <v>174</v>
      </c>
      <c r="G188" s="89">
        <v>500</v>
      </c>
      <c r="H188" s="44">
        <v>12936.8</v>
      </c>
      <c r="I188" s="44">
        <v>15431.3</v>
      </c>
      <c r="J188" s="44">
        <v>15431.3</v>
      </c>
      <c r="K188" s="44">
        <v>15431.3</v>
      </c>
      <c r="L188" s="44">
        <v>15431.3</v>
      </c>
      <c r="M188" s="44">
        <v>15431.3</v>
      </c>
      <c r="N188" s="44">
        <v>15431.3</v>
      </c>
      <c r="O188" s="44">
        <f t="shared" si="28"/>
        <v>105524.6</v>
      </c>
    </row>
    <row r="189" spans="1:24" ht="21.75" customHeight="1">
      <c r="A189" s="127"/>
      <c r="B189" s="93"/>
      <c r="C189" s="137"/>
      <c r="D189" s="89">
        <v>812</v>
      </c>
      <c r="E189" s="89" t="s">
        <v>175</v>
      </c>
      <c r="F189" s="89" t="s">
        <v>173</v>
      </c>
      <c r="G189" s="89">
        <v>500</v>
      </c>
      <c r="H189" s="44">
        <v>200</v>
      </c>
      <c r="I189" s="44"/>
      <c r="J189" s="44"/>
      <c r="K189" s="44"/>
      <c r="L189" s="44"/>
      <c r="M189" s="44"/>
      <c r="N189" s="44"/>
      <c r="O189" s="44">
        <f t="shared" si="28"/>
        <v>200</v>
      </c>
    </row>
    <row r="190" spans="1:24" ht="21.75" customHeight="1">
      <c r="A190" s="127"/>
      <c r="B190" s="93"/>
      <c r="C190" s="137"/>
      <c r="D190" s="89">
        <v>828</v>
      </c>
      <c r="E190" s="83" t="s">
        <v>172</v>
      </c>
      <c r="F190" s="89" t="s">
        <v>176</v>
      </c>
      <c r="G190" s="89">
        <v>500</v>
      </c>
      <c r="H190" s="44">
        <v>163.19999999999999</v>
      </c>
      <c r="I190" s="44">
        <v>163.19999999999999</v>
      </c>
      <c r="J190" s="44">
        <v>163.19999999999999</v>
      </c>
      <c r="K190" s="44">
        <v>163.19999999999999</v>
      </c>
      <c r="L190" s="44">
        <v>163.19999999999999</v>
      </c>
      <c r="M190" s="44">
        <v>163.19999999999999</v>
      </c>
      <c r="N190" s="44">
        <v>163.19999999999999</v>
      </c>
      <c r="O190" s="44">
        <f t="shared" si="28"/>
        <v>1142.4000000000001</v>
      </c>
      <c r="R190" s="29"/>
    </row>
    <row r="191" spans="1:24" ht="21.75" customHeight="1">
      <c r="A191" s="127"/>
      <c r="B191" s="93"/>
      <c r="C191" s="137"/>
      <c r="D191" s="89">
        <v>828</v>
      </c>
      <c r="E191" s="83" t="s">
        <v>172</v>
      </c>
      <c r="F191" s="89" t="s">
        <v>177</v>
      </c>
      <c r="G191" s="89">
        <v>500</v>
      </c>
      <c r="H191" s="44">
        <f>4708.9-2179.3</f>
        <v>2529.5999999999995</v>
      </c>
      <c r="I191" s="44">
        <v>4691.3999999999996</v>
      </c>
      <c r="J191" s="44">
        <v>4691.3999999999996</v>
      </c>
      <c r="K191" s="44">
        <v>4691.3999999999996</v>
      </c>
      <c r="L191" s="44">
        <v>4691.3999999999996</v>
      </c>
      <c r="M191" s="44">
        <v>4691.3999999999996</v>
      </c>
      <c r="N191" s="44">
        <v>4691.3999999999996</v>
      </c>
      <c r="O191" s="44">
        <f t="shared" si="28"/>
        <v>30678</v>
      </c>
    </row>
    <row r="192" spans="1:24" ht="21.75" customHeight="1">
      <c r="A192" s="128"/>
      <c r="B192" s="93"/>
      <c r="C192" s="138"/>
      <c r="D192" s="89">
        <v>828</v>
      </c>
      <c r="E192" s="83" t="s">
        <v>172</v>
      </c>
      <c r="F192" s="89" t="s">
        <v>178</v>
      </c>
      <c r="G192" s="89">
        <v>200</v>
      </c>
      <c r="H192" s="44">
        <f>1067892-29045</f>
        <v>1038847</v>
      </c>
      <c r="I192" s="44">
        <v>1217892</v>
      </c>
      <c r="J192" s="44">
        <v>1217892</v>
      </c>
      <c r="K192" s="44">
        <v>1217892</v>
      </c>
      <c r="L192" s="44">
        <v>1217892</v>
      </c>
      <c r="M192" s="44">
        <v>1217892</v>
      </c>
      <c r="N192" s="44">
        <v>1217892</v>
      </c>
      <c r="O192" s="44">
        <f t="shared" si="28"/>
        <v>8346199</v>
      </c>
    </row>
    <row r="193" spans="1:15" ht="21.75" customHeight="1">
      <c r="A193" s="139"/>
      <c r="B193" s="41"/>
      <c r="C193" s="139"/>
      <c r="D193" s="72">
        <v>828</v>
      </c>
      <c r="E193" s="83" t="s">
        <v>172</v>
      </c>
      <c r="F193" s="72" t="s">
        <v>179</v>
      </c>
      <c r="G193" s="72">
        <v>800</v>
      </c>
      <c r="H193" s="44">
        <v>17046.2</v>
      </c>
      <c r="I193" s="84"/>
      <c r="J193" s="44"/>
      <c r="K193" s="44"/>
      <c r="L193" s="44"/>
      <c r="M193" s="44"/>
      <c r="N193" s="44"/>
      <c r="O193" s="44">
        <f t="shared" si="28"/>
        <v>17046.2</v>
      </c>
    </row>
    <row r="194" spans="1:15" ht="21.75" customHeight="1">
      <c r="A194" s="140"/>
      <c r="B194" s="41"/>
      <c r="C194" s="140"/>
      <c r="D194" s="72">
        <v>828</v>
      </c>
      <c r="E194" s="83" t="s">
        <v>172</v>
      </c>
      <c r="F194" s="72" t="s">
        <v>180</v>
      </c>
      <c r="G194" s="72">
        <v>500</v>
      </c>
      <c r="H194" s="75">
        <f>389780-376.2</f>
        <v>389403.8</v>
      </c>
      <c r="I194" s="44"/>
      <c r="J194" s="44"/>
      <c r="K194" s="44"/>
      <c r="L194" s="44"/>
      <c r="M194" s="44"/>
      <c r="N194" s="44"/>
      <c r="O194" s="44">
        <f t="shared" si="28"/>
        <v>389403.8</v>
      </c>
    </row>
    <row r="195" spans="1:15" ht="21.75" customHeight="1">
      <c r="A195" s="140"/>
      <c r="B195" s="88"/>
      <c r="C195" s="140"/>
      <c r="D195" s="89">
        <v>828</v>
      </c>
      <c r="E195" s="83" t="s">
        <v>172</v>
      </c>
      <c r="F195" s="51" t="s">
        <v>198</v>
      </c>
      <c r="G195" s="51">
        <v>200</v>
      </c>
      <c r="H195" s="75"/>
      <c r="I195" s="44"/>
      <c r="J195" s="53">
        <v>23471.5</v>
      </c>
      <c r="K195" s="53">
        <v>145577.4</v>
      </c>
      <c r="L195" s="53">
        <v>182640.6</v>
      </c>
      <c r="M195" s="53">
        <v>105963.3</v>
      </c>
      <c r="N195" s="44"/>
      <c r="O195" s="44">
        <f t="shared" si="28"/>
        <v>457652.8</v>
      </c>
    </row>
    <row r="196" spans="1:15" ht="21.75" customHeight="1">
      <c r="A196" s="140"/>
      <c r="B196" s="41"/>
      <c r="C196" s="140"/>
      <c r="D196" s="72">
        <v>828</v>
      </c>
      <c r="E196" s="83" t="s">
        <v>172</v>
      </c>
      <c r="F196" s="51" t="s">
        <v>198</v>
      </c>
      <c r="G196" s="72">
        <v>800</v>
      </c>
      <c r="H196" s="75"/>
      <c r="I196" s="44"/>
      <c r="J196" s="53">
        <v>434245.6</v>
      </c>
      <c r="K196" s="53">
        <v>292552.90000000002</v>
      </c>
      <c r="L196" s="53">
        <v>267692.7</v>
      </c>
      <c r="M196" s="53">
        <v>409516.5</v>
      </c>
      <c r="N196" s="44"/>
      <c r="O196" s="44">
        <f t="shared" si="28"/>
        <v>1404007.7</v>
      </c>
    </row>
    <row r="197" spans="1:15" ht="21.75" customHeight="1">
      <c r="A197" s="140"/>
      <c r="B197" s="41"/>
      <c r="C197" s="140"/>
      <c r="D197" s="72">
        <v>828</v>
      </c>
      <c r="E197" s="83" t="s">
        <v>172</v>
      </c>
      <c r="F197" s="72" t="s">
        <v>181</v>
      </c>
      <c r="G197" s="72">
        <v>800</v>
      </c>
      <c r="H197" s="44">
        <v>229866</v>
      </c>
      <c r="I197" s="44">
        <f>218091.5-30000+7740.6</f>
        <v>195832.1</v>
      </c>
      <c r="J197" s="44">
        <v>229866</v>
      </c>
      <c r="K197" s="44">
        <v>229866</v>
      </c>
      <c r="L197" s="44">
        <v>229866</v>
      </c>
      <c r="M197" s="44">
        <v>229866</v>
      </c>
      <c r="N197" s="44">
        <v>229866</v>
      </c>
      <c r="O197" s="44">
        <f t="shared" si="28"/>
        <v>1575028.1</v>
      </c>
    </row>
    <row r="198" spans="1:15" ht="21.75" customHeight="1">
      <c r="A198" s="140"/>
      <c r="B198" s="41"/>
      <c r="C198" s="140"/>
      <c r="D198" s="72">
        <v>810</v>
      </c>
      <c r="E198" s="83" t="s">
        <v>172</v>
      </c>
      <c r="F198" s="72" t="s">
        <v>182</v>
      </c>
      <c r="G198" s="72">
        <v>800</v>
      </c>
      <c r="H198" s="85">
        <v>9251.7999999999993</v>
      </c>
      <c r="I198" s="85">
        <v>7798.3</v>
      </c>
      <c r="J198" s="85">
        <v>8116.7</v>
      </c>
      <c r="K198" s="85">
        <v>8441.2999999999993</v>
      </c>
      <c r="L198" s="85">
        <v>8441.2999999999993</v>
      </c>
      <c r="M198" s="85">
        <v>8441.2999999999993</v>
      </c>
      <c r="N198" s="85">
        <v>8441.2999999999993</v>
      </c>
      <c r="O198" s="44">
        <f t="shared" si="28"/>
        <v>58932</v>
      </c>
    </row>
    <row r="199" spans="1:15" ht="21.75" customHeight="1">
      <c r="A199" s="140"/>
      <c r="B199" s="41"/>
      <c r="C199" s="140"/>
      <c r="D199" s="72">
        <v>828</v>
      </c>
      <c r="E199" s="83" t="s">
        <v>172</v>
      </c>
      <c r="F199" s="72" t="s">
        <v>183</v>
      </c>
      <c r="G199" s="72">
        <v>800</v>
      </c>
      <c r="H199" s="85">
        <f>7100-2140</f>
        <v>4960</v>
      </c>
      <c r="I199" s="44">
        <v>7100</v>
      </c>
      <c r="J199" s="44">
        <v>7100</v>
      </c>
      <c r="K199" s="44">
        <v>7100</v>
      </c>
      <c r="L199" s="44">
        <v>7100</v>
      </c>
      <c r="M199" s="44">
        <v>7100</v>
      </c>
      <c r="N199" s="44">
        <v>7100</v>
      </c>
      <c r="O199" s="44">
        <f t="shared" si="28"/>
        <v>47560</v>
      </c>
    </row>
    <row r="200" spans="1:15" ht="21.75" customHeight="1">
      <c r="A200" s="140"/>
      <c r="B200" s="41"/>
      <c r="C200" s="141"/>
      <c r="D200" s="72">
        <v>828</v>
      </c>
      <c r="E200" s="83" t="s">
        <v>172</v>
      </c>
      <c r="F200" s="72" t="s">
        <v>184</v>
      </c>
      <c r="G200" s="72">
        <v>800</v>
      </c>
      <c r="H200" s="44"/>
      <c r="I200" s="44"/>
      <c r="J200" s="44"/>
      <c r="K200" s="44"/>
      <c r="L200" s="44">
        <v>34000</v>
      </c>
      <c r="M200" s="44">
        <v>34000</v>
      </c>
      <c r="N200" s="44">
        <v>34000</v>
      </c>
      <c r="O200" s="44">
        <f t="shared" si="28"/>
        <v>102000</v>
      </c>
    </row>
    <row r="201" spans="1:15" ht="34.5" customHeight="1">
      <c r="A201" s="140"/>
      <c r="B201" s="41"/>
      <c r="C201" s="41" t="s">
        <v>17</v>
      </c>
      <c r="D201" s="63"/>
      <c r="E201" s="63"/>
      <c r="F201" s="63"/>
      <c r="G201" s="63"/>
      <c r="H201" s="44"/>
      <c r="I201" s="44"/>
      <c r="J201" s="44"/>
      <c r="K201" s="44"/>
      <c r="L201" s="44"/>
      <c r="M201" s="44"/>
      <c r="N201" s="44"/>
      <c r="O201" s="44"/>
    </row>
    <row r="202" spans="1:15" ht="31.5">
      <c r="A202" s="140"/>
      <c r="B202" s="41"/>
      <c r="C202" s="41" t="s">
        <v>18</v>
      </c>
      <c r="D202" s="64"/>
      <c r="E202" s="64"/>
      <c r="F202" s="64"/>
      <c r="G202" s="64"/>
      <c r="H202" s="44"/>
      <c r="I202" s="44"/>
      <c r="J202" s="44"/>
      <c r="K202" s="44"/>
      <c r="L202" s="44"/>
      <c r="M202" s="44"/>
      <c r="N202" s="44"/>
      <c r="O202" s="44"/>
    </row>
    <row r="203" spans="1:15" ht="22.35" customHeight="1">
      <c r="A203" s="140"/>
      <c r="B203" s="46"/>
      <c r="C203" s="46" t="s">
        <v>109</v>
      </c>
      <c r="D203" s="64"/>
      <c r="E203" s="64"/>
      <c r="F203" s="64"/>
      <c r="G203" s="64"/>
      <c r="H203" s="44">
        <f t="shared" ref="H203" si="30">H187+H188+H189+H190+H191+H194</f>
        <v>425669.39999999997</v>
      </c>
      <c r="I203" s="44">
        <f>I187+I188+I189+I190+I191+I194</f>
        <v>41278.9</v>
      </c>
      <c r="J203" s="44">
        <f t="shared" ref="J203:N203" si="31">J187+J188+J189+J190+J191+J194</f>
        <v>41278.9</v>
      </c>
      <c r="K203" s="44">
        <f t="shared" si="31"/>
        <v>41278.9</v>
      </c>
      <c r="L203" s="44">
        <f t="shared" si="31"/>
        <v>41278.9</v>
      </c>
      <c r="M203" s="44">
        <f t="shared" si="31"/>
        <v>41278.9</v>
      </c>
      <c r="N203" s="44">
        <f t="shared" si="31"/>
        <v>41278.9</v>
      </c>
      <c r="O203" s="44">
        <f>SUM(H203:N203)</f>
        <v>673342.8</v>
      </c>
    </row>
    <row r="204" spans="1:15" ht="52.15" customHeight="1">
      <c r="A204" s="140"/>
      <c r="B204" s="41"/>
      <c r="C204" s="41" t="s">
        <v>20</v>
      </c>
      <c r="D204" s="63"/>
      <c r="E204" s="63"/>
      <c r="F204" s="63"/>
      <c r="G204" s="63"/>
      <c r="H204" s="44"/>
      <c r="I204" s="44"/>
      <c r="J204" s="44"/>
      <c r="K204" s="44"/>
      <c r="L204" s="44"/>
      <c r="M204" s="44"/>
      <c r="N204" s="44"/>
      <c r="O204" s="44"/>
    </row>
    <row r="205" spans="1:15" ht="54" customHeight="1">
      <c r="A205" s="140"/>
      <c r="B205" s="41"/>
      <c r="C205" s="41" t="s">
        <v>21</v>
      </c>
      <c r="D205" s="63"/>
      <c r="E205" s="63"/>
      <c r="F205" s="63"/>
      <c r="G205" s="63"/>
      <c r="H205" s="44"/>
      <c r="I205" s="44"/>
      <c r="J205" s="44"/>
      <c r="K205" s="44"/>
      <c r="L205" s="44"/>
      <c r="M205" s="44"/>
      <c r="N205" s="44"/>
      <c r="O205" s="44"/>
    </row>
    <row r="206" spans="1:15" ht="21" hidden="1" customHeight="1">
      <c r="A206" s="140"/>
      <c r="B206" s="41"/>
      <c r="C206" s="41" t="s">
        <v>196</v>
      </c>
      <c r="D206" s="64"/>
      <c r="E206" s="64"/>
      <c r="F206" s="64"/>
      <c r="G206" s="64"/>
      <c r="H206" s="75">
        <v>1127.0999999999999</v>
      </c>
      <c r="I206" s="44">
        <v>1473.9</v>
      </c>
      <c r="J206" s="44">
        <v>1473.9</v>
      </c>
      <c r="K206" s="44">
        <v>1473.9</v>
      </c>
      <c r="L206" s="44">
        <v>1473.9</v>
      </c>
      <c r="M206" s="44">
        <v>1473.9</v>
      </c>
      <c r="N206" s="44">
        <v>1473.9</v>
      </c>
      <c r="O206" s="44">
        <f>SUM(H206:N206)</f>
        <v>9970.5</v>
      </c>
    </row>
    <row r="207" spans="1:15" ht="21" customHeight="1">
      <c r="A207" s="140"/>
      <c r="B207" s="41"/>
      <c r="C207" s="41" t="s">
        <v>22</v>
      </c>
      <c r="D207" s="64"/>
      <c r="E207" s="64"/>
      <c r="F207" s="64"/>
      <c r="G207" s="64"/>
      <c r="H207" s="75">
        <f>H203+H206</f>
        <v>426796.49999999994</v>
      </c>
      <c r="I207" s="75">
        <f t="shared" ref="I207:N207" si="32">I203+I206</f>
        <v>42752.800000000003</v>
      </c>
      <c r="J207" s="75">
        <f t="shared" si="32"/>
        <v>42752.800000000003</v>
      </c>
      <c r="K207" s="75">
        <f t="shared" si="32"/>
        <v>42752.800000000003</v>
      </c>
      <c r="L207" s="75">
        <f t="shared" si="32"/>
        <v>42752.800000000003</v>
      </c>
      <c r="M207" s="75">
        <f t="shared" si="32"/>
        <v>42752.800000000003</v>
      </c>
      <c r="N207" s="75">
        <f t="shared" si="32"/>
        <v>42752.800000000003</v>
      </c>
      <c r="O207" s="75">
        <f>O203+O206</f>
        <v>683313.3</v>
      </c>
    </row>
    <row r="208" spans="1:15" ht="16.5" customHeight="1">
      <c r="A208" s="141"/>
      <c r="B208" s="41"/>
      <c r="C208" s="41" t="s">
        <v>23</v>
      </c>
      <c r="D208" s="63"/>
      <c r="E208" s="63"/>
      <c r="F208" s="63"/>
      <c r="G208" s="63"/>
      <c r="H208" s="44"/>
      <c r="I208" s="44"/>
      <c r="J208" s="44"/>
      <c r="K208" s="44"/>
      <c r="L208" s="44"/>
      <c r="M208" s="44"/>
      <c r="N208" s="44"/>
      <c r="O208" s="44"/>
    </row>
    <row r="209" spans="1:24" ht="31.5" customHeight="1">
      <c r="A209" s="126" t="s">
        <v>185</v>
      </c>
      <c r="B209" s="41"/>
      <c r="C209" s="132" t="s">
        <v>97</v>
      </c>
      <c r="D209" s="132"/>
      <c r="E209" s="132"/>
      <c r="F209" s="132"/>
      <c r="G209" s="132"/>
      <c r="H209" s="132"/>
      <c r="I209" s="132"/>
      <c r="J209" s="132"/>
      <c r="K209" s="132"/>
      <c r="L209" s="132"/>
      <c r="M209" s="132"/>
      <c r="N209" s="132"/>
      <c r="O209" s="132"/>
    </row>
    <row r="210" spans="1:24" ht="31.5" customHeight="1">
      <c r="A210" s="127"/>
      <c r="B210" s="41" t="s">
        <v>97</v>
      </c>
      <c r="C210" s="125" t="s">
        <v>15</v>
      </c>
      <c r="D210" s="72">
        <v>828</v>
      </c>
      <c r="E210" s="83" t="s">
        <v>186</v>
      </c>
      <c r="F210" s="72" t="s">
        <v>187</v>
      </c>
      <c r="G210" s="41"/>
      <c r="H210" s="44">
        <f t="shared" ref="H210:O210" si="33">SUM(H211:H214)</f>
        <v>224334.5</v>
      </c>
      <c r="I210" s="44">
        <f t="shared" si="33"/>
        <v>254146.7</v>
      </c>
      <c r="J210" s="44">
        <f t="shared" si="33"/>
        <v>250320</v>
      </c>
      <c r="K210" s="44">
        <f t="shared" si="33"/>
        <v>259891</v>
      </c>
      <c r="L210" s="44">
        <f t="shared" si="33"/>
        <v>270286.64</v>
      </c>
      <c r="M210" s="44">
        <f t="shared" si="33"/>
        <v>281098.10560000001</v>
      </c>
      <c r="N210" s="44">
        <f t="shared" si="33"/>
        <v>292341.92982399999</v>
      </c>
      <c r="O210" s="44">
        <f t="shared" si="33"/>
        <v>1832418.875424</v>
      </c>
      <c r="Q210" s="29">
        <f t="shared" ref="Q210:W210" si="34">H210</f>
        <v>224334.5</v>
      </c>
      <c r="R210" s="29">
        <f t="shared" si="34"/>
        <v>254146.7</v>
      </c>
      <c r="S210" s="29">
        <f t="shared" si="34"/>
        <v>250320</v>
      </c>
      <c r="T210" s="29">
        <f t="shared" si="34"/>
        <v>259891</v>
      </c>
      <c r="U210" s="29">
        <f t="shared" si="34"/>
        <v>270286.64</v>
      </c>
      <c r="V210" s="29">
        <f t="shared" si="34"/>
        <v>281098.10560000001</v>
      </c>
      <c r="W210" s="29">
        <f t="shared" si="34"/>
        <v>292341.92982399999</v>
      </c>
      <c r="X210" s="30">
        <f>SUM(Q210:W210)</f>
        <v>1832418.8754239997</v>
      </c>
    </row>
    <row r="211" spans="1:24" ht="33.75" customHeight="1">
      <c r="A211" s="127"/>
      <c r="B211" s="41"/>
      <c r="C211" s="125"/>
      <c r="D211" s="72">
        <v>828</v>
      </c>
      <c r="E211" s="83" t="s">
        <v>172</v>
      </c>
      <c r="F211" s="72" t="s">
        <v>188</v>
      </c>
      <c r="G211" s="86" t="s">
        <v>189</v>
      </c>
      <c r="H211" s="75">
        <v>42966.3</v>
      </c>
      <c r="I211" s="75">
        <v>47064</v>
      </c>
      <c r="J211" s="58">
        <v>46883</v>
      </c>
      <c r="K211" s="53">
        <v>48672</v>
      </c>
      <c r="L211" s="53">
        <f>K211*1.04</f>
        <v>50618.880000000005</v>
      </c>
      <c r="M211" s="53">
        <f>L211*1.04</f>
        <v>52643.635200000004</v>
      </c>
      <c r="N211" s="82">
        <f>M211*1.04</f>
        <v>54749.380608000007</v>
      </c>
      <c r="O211" s="44">
        <f>SUM(H211:N211)</f>
        <v>343597.19580800005</v>
      </c>
    </row>
    <row r="212" spans="1:24" ht="31.5" customHeight="1">
      <c r="A212" s="127"/>
      <c r="B212" s="41"/>
      <c r="C212" s="125"/>
      <c r="D212" s="72">
        <v>828</v>
      </c>
      <c r="E212" s="83" t="s">
        <v>190</v>
      </c>
      <c r="F212" s="72" t="s">
        <v>191</v>
      </c>
      <c r="G212" s="86" t="s">
        <v>192</v>
      </c>
      <c r="H212" s="44">
        <f>146639.9-600</f>
        <v>146039.9</v>
      </c>
      <c r="I212" s="87"/>
      <c r="J212" s="87"/>
      <c r="K212" s="87"/>
      <c r="L212" s="87"/>
      <c r="M212" s="87"/>
      <c r="N212" s="87"/>
      <c r="O212" s="44">
        <f>SUM(H212:N212)</f>
        <v>146039.9</v>
      </c>
    </row>
    <row r="213" spans="1:24" ht="33.75" customHeight="1">
      <c r="A213" s="127"/>
      <c r="B213" s="41"/>
      <c r="C213" s="125"/>
      <c r="D213" s="72">
        <v>828</v>
      </c>
      <c r="E213" s="83" t="s">
        <v>190</v>
      </c>
      <c r="F213" s="72" t="s">
        <v>193</v>
      </c>
      <c r="G213" s="86" t="s">
        <v>192</v>
      </c>
      <c r="H213" s="44"/>
      <c r="I213" s="44">
        <f>167708-1539</f>
        <v>166169</v>
      </c>
      <c r="J213" s="44">
        <v>162816</v>
      </c>
      <c r="K213" s="44">
        <v>169157</v>
      </c>
      <c r="L213" s="44">
        <v>175923.28</v>
      </c>
      <c r="M213" s="44">
        <v>182960.21119999999</v>
      </c>
      <c r="N213" s="44">
        <f>190278.619648-0.1</f>
        <v>190278.51964799999</v>
      </c>
      <c r="O213" s="44">
        <f>SUM(H213:N213)</f>
        <v>1047304.0108480001</v>
      </c>
    </row>
    <row r="214" spans="1:24" ht="28.5" customHeight="1">
      <c r="A214" s="127"/>
      <c r="B214" s="41"/>
      <c r="C214" s="125"/>
      <c r="D214" s="72">
        <v>828</v>
      </c>
      <c r="E214" s="83" t="s">
        <v>172</v>
      </c>
      <c r="F214" s="72" t="s">
        <v>191</v>
      </c>
      <c r="G214" s="86" t="s">
        <v>189</v>
      </c>
      <c r="H214" s="44">
        <v>35328.300000000003</v>
      </c>
      <c r="I214" s="44">
        <f>40639+274.7</f>
        <v>40913.699999999997</v>
      </c>
      <c r="J214" s="44">
        <v>40621</v>
      </c>
      <c r="K214" s="44">
        <v>42062</v>
      </c>
      <c r="L214" s="44">
        <v>43744.480000000003</v>
      </c>
      <c r="M214" s="44">
        <v>45494.2592</v>
      </c>
      <c r="N214" s="44">
        <v>47314.029567999998</v>
      </c>
      <c r="O214" s="44">
        <f>SUM(H214:N214)</f>
        <v>295477.76876800001</v>
      </c>
    </row>
    <row r="215" spans="1:24" ht="31.5" customHeight="1">
      <c r="A215" s="127"/>
      <c r="B215" s="41"/>
      <c r="C215" s="41" t="s">
        <v>17</v>
      </c>
      <c r="D215" s="63"/>
      <c r="E215" s="63"/>
      <c r="F215" s="63"/>
      <c r="G215" s="63"/>
      <c r="H215" s="44"/>
      <c r="I215" s="44"/>
      <c r="J215" s="44"/>
      <c r="K215" s="44"/>
      <c r="L215" s="44"/>
      <c r="M215" s="44"/>
      <c r="N215" s="44"/>
      <c r="O215" s="44"/>
    </row>
    <row r="216" spans="1:24" ht="31.5">
      <c r="A216" s="127"/>
      <c r="B216" s="41"/>
      <c r="C216" s="41" t="s">
        <v>18</v>
      </c>
      <c r="D216" s="64"/>
      <c r="E216" s="64"/>
      <c r="F216" s="64"/>
      <c r="G216" s="64"/>
      <c r="H216" s="44"/>
      <c r="I216" s="44"/>
      <c r="J216" s="44"/>
      <c r="K216" s="44"/>
      <c r="L216" s="44"/>
      <c r="M216" s="44"/>
      <c r="N216" s="44"/>
      <c r="O216" s="44"/>
    </row>
    <row r="217" spans="1:24" ht="22.5" customHeight="1">
      <c r="A217" s="127"/>
      <c r="B217" s="46"/>
      <c r="C217" s="46" t="s">
        <v>109</v>
      </c>
      <c r="D217" s="64"/>
      <c r="E217" s="64"/>
      <c r="F217" s="64"/>
      <c r="G217" s="64"/>
      <c r="H217" s="44"/>
      <c r="I217" s="44"/>
      <c r="J217" s="44"/>
      <c r="K217" s="44"/>
      <c r="L217" s="44"/>
      <c r="M217" s="44"/>
      <c r="N217" s="44"/>
      <c r="O217" s="44"/>
    </row>
    <row r="218" spans="1:24" ht="63" customHeight="1">
      <c r="A218" s="127"/>
      <c r="B218" s="41"/>
      <c r="C218" s="41" t="s">
        <v>20</v>
      </c>
      <c r="D218" s="63"/>
      <c r="E218" s="63"/>
      <c r="F218" s="63"/>
      <c r="G218" s="63"/>
      <c r="H218" s="44"/>
      <c r="I218" s="44"/>
      <c r="J218" s="44"/>
      <c r="K218" s="44"/>
      <c r="L218" s="44"/>
      <c r="M218" s="44"/>
      <c r="N218" s="44"/>
      <c r="O218" s="44"/>
    </row>
    <row r="219" spans="1:24" ht="49.5" customHeight="1">
      <c r="A219" s="127"/>
      <c r="B219" s="36"/>
      <c r="C219" s="36" t="s">
        <v>21</v>
      </c>
      <c r="D219" s="31"/>
      <c r="E219" s="31"/>
      <c r="F219" s="31"/>
      <c r="G219" s="31"/>
      <c r="H219" s="10"/>
      <c r="I219" s="10"/>
      <c r="J219" s="10"/>
      <c r="K219" s="10"/>
      <c r="L219" s="10"/>
      <c r="M219" s="10"/>
      <c r="N219" s="10"/>
      <c r="O219" s="10"/>
    </row>
    <row r="220" spans="1:24" ht="18.75" customHeight="1">
      <c r="A220" s="127"/>
      <c r="B220" s="36"/>
      <c r="C220" s="36" t="s">
        <v>22</v>
      </c>
      <c r="D220" s="32"/>
      <c r="E220" s="32"/>
      <c r="F220" s="32"/>
      <c r="G220" s="32"/>
      <c r="H220" s="10"/>
      <c r="I220" s="10"/>
      <c r="J220" s="10"/>
      <c r="K220" s="10"/>
      <c r="L220" s="10"/>
      <c r="M220" s="10"/>
      <c r="N220" s="10"/>
      <c r="O220" s="10"/>
    </row>
    <row r="221" spans="1:24" ht="21" customHeight="1">
      <c r="A221" s="128"/>
      <c r="B221" s="36"/>
      <c r="C221" s="36" t="s">
        <v>23</v>
      </c>
      <c r="D221" s="31"/>
      <c r="E221" s="31"/>
      <c r="F221" s="31"/>
      <c r="G221" s="31"/>
      <c r="H221" s="10"/>
      <c r="I221" s="10"/>
      <c r="J221" s="10"/>
      <c r="K221" s="10"/>
      <c r="L221" s="10"/>
      <c r="M221" s="10"/>
      <c r="N221" s="10"/>
      <c r="O221" s="10"/>
    </row>
    <row r="222" spans="1:24" ht="24" hidden="1" customHeight="1"/>
    <row r="223" spans="1:24" ht="56.25" hidden="1" customHeight="1">
      <c r="C223" s="34" t="s">
        <v>194</v>
      </c>
      <c r="D223" s="34"/>
      <c r="E223" s="34"/>
      <c r="F223" s="34"/>
      <c r="G223" s="34"/>
      <c r="H223" s="34"/>
      <c r="I223" s="34"/>
      <c r="J223" s="34"/>
      <c r="K223" s="34"/>
      <c r="L223" s="34"/>
      <c r="M223" s="34" t="s">
        <v>195</v>
      </c>
      <c r="N223" s="35"/>
    </row>
    <row r="224" spans="1:24" ht="24" hidden="1" customHeight="1"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</row>
    <row r="225" spans="8:14" hidden="1"/>
    <row r="227" spans="8:14">
      <c r="H227" s="29"/>
    </row>
    <row r="229" spans="8:14">
      <c r="H229" s="29"/>
      <c r="I229" s="29"/>
      <c r="J229" s="29"/>
      <c r="K229" s="29"/>
      <c r="L229" s="29"/>
      <c r="M229" s="29"/>
      <c r="N229" s="29"/>
    </row>
    <row r="231" spans="8:14">
      <c r="H231" s="29"/>
    </row>
  </sheetData>
  <mergeCells count="62">
    <mergeCell ref="C119:O119"/>
    <mergeCell ref="B120:B128"/>
    <mergeCell ref="C129:O129"/>
    <mergeCell ref="A157:A184"/>
    <mergeCell ref="A185:A192"/>
    <mergeCell ref="C185:O185"/>
    <mergeCell ref="B130:B137"/>
    <mergeCell ref="C138:O138"/>
    <mergeCell ref="C139:C148"/>
    <mergeCell ref="C157:O157"/>
    <mergeCell ref="C210:C214"/>
    <mergeCell ref="C186:C192"/>
    <mergeCell ref="C193:C200"/>
    <mergeCell ref="A193:A208"/>
    <mergeCell ref="A209:A221"/>
    <mergeCell ref="C209:O209"/>
    <mergeCell ref="C110:C111"/>
    <mergeCell ref="B158:B184"/>
    <mergeCell ref="C158:C176"/>
    <mergeCell ref="A72:A92"/>
    <mergeCell ref="A93:A97"/>
    <mergeCell ref="A98:A108"/>
    <mergeCell ref="C109:O109"/>
    <mergeCell ref="B110:B118"/>
    <mergeCell ref="A109:A118"/>
    <mergeCell ref="C72:O72"/>
    <mergeCell ref="B73:B97"/>
    <mergeCell ref="C73:C89"/>
    <mergeCell ref="C98:O98"/>
    <mergeCell ref="C99:C100"/>
    <mergeCell ref="A119:A128"/>
    <mergeCell ref="A138:A156"/>
    <mergeCell ref="D57:G57"/>
    <mergeCell ref="H57:O57"/>
    <mergeCell ref="D58:G58"/>
    <mergeCell ref="C60:O60"/>
    <mergeCell ref="B62:B71"/>
    <mergeCell ref="K2:O2"/>
    <mergeCell ref="K3:O3"/>
    <mergeCell ref="K4:O4"/>
    <mergeCell ref="K5:O5"/>
    <mergeCell ref="A7:O7"/>
    <mergeCell ref="A9:O9"/>
    <mergeCell ref="A11:A12"/>
    <mergeCell ref="B11:B12"/>
    <mergeCell ref="C11:C12"/>
    <mergeCell ref="H11:O11"/>
    <mergeCell ref="A60:A71"/>
    <mergeCell ref="B14:B17"/>
    <mergeCell ref="B18:C18"/>
    <mergeCell ref="B19:B22"/>
    <mergeCell ref="B23:B26"/>
    <mergeCell ref="B27:B30"/>
    <mergeCell ref="B31:B34"/>
    <mergeCell ref="B35:B38"/>
    <mergeCell ref="B39:B42"/>
    <mergeCell ref="B43:B46"/>
    <mergeCell ref="B47:B50"/>
    <mergeCell ref="B51:B54"/>
    <mergeCell ref="A57:A58"/>
    <mergeCell ref="B57:B58"/>
    <mergeCell ref="C57:C58"/>
  </mergeCells>
  <printOptions horizontalCentered="1"/>
  <pageMargins left="0.39370078740157483" right="0.39370078740157483" top="0.39370078740157483" bottom="0.31496062992125984" header="0.19685039370078741" footer="0.51181102362204722"/>
  <pageSetup paperSize="9" scale="62" firstPageNumber="4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>
      <selection activeCell="AC31" sqref="AC31"/>
    </sheetView>
  </sheetViews>
  <sheetFormatPr defaultColWidth="8.7109375" defaultRowHeight="1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1. Основные положения ГП Уточ</vt:lpstr>
      <vt:lpstr>5. Финансиров 09.09.2025</vt:lpstr>
      <vt:lpstr>Лист5</vt:lpstr>
      <vt:lpstr>'1. Основные положения ГП Уточ'!_ftnref2</vt:lpstr>
      <vt:lpstr>'1. Основные положения ГП Уточ'!_ftnref3</vt:lpstr>
      <vt:lpstr>'1. Основные положения ГП Уточ'!_ftnref5</vt:lpstr>
      <vt:lpstr>'5. Финансиров 09.09.2025'!Заголовки_для_печати</vt:lpstr>
      <vt:lpstr>'1. Основные положения ГП Уточ'!Область_печати</vt:lpstr>
      <vt:lpstr>'5. Финансиров 09.09.2025'!Область_печати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18</cp:revision>
  <cp:lastPrinted>2025-10-15T11:38:11Z</cp:lastPrinted>
  <dcterms:created xsi:type="dcterms:W3CDTF">2023-03-30T13:12:42Z</dcterms:created>
  <dcterms:modified xsi:type="dcterms:W3CDTF">2025-10-15T11:38:13Z</dcterms:modified>
  <dc:language>ru-RU</dc:language>
</cp:coreProperties>
</file>